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755" activeTab="1"/>
  </bookViews>
  <sheets>
    <sheet name="Shift Work Calendar" sheetId="1" r:id="rId1"/>
    <sheet name="Jobs and Shifts" sheetId="3" r:id="rId2"/>
  </sheets>
  <definedNames>
    <definedName name="AprSun1">DATE(CalendarYear,4,1)-WEEKDAY(DATE(CalendarYear,4,1))</definedName>
    <definedName name="AugSun1">DATE(CalendarYear,8,1)-WEEKDAY(DATE(CalendarYear,8,1))</definedName>
    <definedName name="CalendarYear">'Shift Work Calendar'!$AH$1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ob1_DayOff_Code">'Jobs and Shifts'!$D$19</definedName>
    <definedName name="Job1_Name">'Jobs and Shifts'!$D$5</definedName>
    <definedName name="Job1_Pattern">'Jobs and Shifts'!$D$22</definedName>
    <definedName name="Job1_Shift1_Code">'Jobs and Shifts'!$D$8</definedName>
    <definedName name="Job1_Shift2_Code">'Jobs and Shifts'!$D$12</definedName>
    <definedName name="Job1_Shift3_Code">'Jobs and Shifts'!$D$16</definedName>
    <definedName name="Job1_StartDate">'Jobs and Shifts'!$D$21</definedName>
    <definedName name="Job2_DayOff_Code">'Jobs and Shifts'!$E$19</definedName>
    <definedName name="Job2_Name">'Jobs and Shifts'!$E$5</definedName>
    <definedName name="Job2_Pattern">'Jobs and Shifts'!$E$22</definedName>
    <definedName name="Job2_Shift1_Code">'Jobs and Shifts'!$E$8</definedName>
    <definedName name="Job2_Shift2_Code">'Jobs and Shifts'!$E$12</definedName>
    <definedName name="Job2_Shift3_Code">'Jobs and Shifts'!$E$16</definedName>
    <definedName name="Job2_StartDate">'Jobs and Shifts'!$E$21</definedName>
    <definedName name="Job3_DayOff_Code">'Jobs and Shifts'!$F$19</definedName>
    <definedName name="Job3_Name">'Jobs and Shifts'!$F$5</definedName>
    <definedName name="Job3_Pattern">'Jobs and Shifts'!$F$22</definedName>
    <definedName name="Job3_Shift1_Code">'Jobs and Shifts'!$F$8</definedName>
    <definedName name="Job3_Shift2_Code">'Jobs and Shifts'!$F$12</definedName>
    <definedName name="Job3_Shift3_Code">'Jobs and Shifts'!$F$16</definedName>
    <definedName name="Job3_StartDate">'Jobs and Shifts'!$F$21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Range_Dates">'Shift Work Calendar'!$C$5:$AM$5,'Shift Work Calendar'!$C$11:$AM$11,'Shift Work Calendar'!$C$17:$AM$17,'Shift Work Calendar'!$C$23:$AM$23,'Shift Work Calendar'!$C$29:$AM$29,'Shift Work Calendar'!$C$35:$AM$35,'Shift Work Calendar'!$C$41:$AM$41,'Shift Work Calendar'!$C$47:$AM$47,'Shift Work Calendar'!$C$53:$AM$53,'Shift Work Calendar'!$C$59:$AM$59,'Shift Work Calendar'!$C$65:$AM$65,'Shift Work Calendar'!$C$71:$AM$71</definedName>
    <definedName name="Range_Days">'Shift Work Calendar'!$C$7:$AM$9,'Shift Work Calendar'!$C$13:$AM$15,'Shift Work Calendar'!$C$19:$AM$21,'Shift Work Calendar'!$C$25:$AM$27,'Shift Work Calendar'!$C$31:$AM$33,'Shift Work Calendar'!$C$37:$AM$39,'Shift Work Calendar'!$C$43:$AM$45,'Shift Work Calendar'!$C$49:$AM$51,'Shift Work Calendar'!$C$55:$AM$57,'Shift Work Calendar'!$C$61:$AM$63,'Shift Work Calendar'!$C$67:$AM$69,'Shift Work Calendar'!$C$73:$AM$75</definedName>
    <definedName name="Range_Weekdays">'Shift Work Calendar'!$C$6:$AM$6,'Shift Work Calendar'!$C$12:$AM$12,'Shift Work Calendar'!$C$18:$AM$18,'Shift Work Calendar'!$C$24:$AM$24,'Shift Work Calendar'!$C$30:$AM$30,'Shift Work Calendar'!$C$36:$AM$36,'Shift Work Calendar'!$C$42:$AM$42,'Shift Work Calendar'!$C$48:$AM$48,'Shift Work Calendar'!$C$54:$AM$54,'Shift Work Calendar'!$C$60:$AM$60,'Shift Work Calendar'!$C$66:$AM$66,'Shift Work Calendar'!$C$72:$AM$72</definedName>
    <definedName name="SepSun1">DATE(CalendarYear,9,1)-WEEKDAY(DATE(CalendarYear,9,1))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3" l="1"/>
  <c r="B75" i="1"/>
  <c r="B74" i="1"/>
  <c r="B73" i="1"/>
  <c r="B69" i="1"/>
  <c r="B68" i="1"/>
  <c r="B67" i="1"/>
  <c r="B63" i="1"/>
  <c r="B62" i="1"/>
  <c r="B61" i="1"/>
  <c r="B57" i="1"/>
  <c r="B56" i="1"/>
  <c r="B55" i="1"/>
  <c r="B51" i="1"/>
  <c r="B50" i="1"/>
  <c r="B49" i="1"/>
  <c r="B45" i="1"/>
  <c r="B44" i="1"/>
  <c r="B43" i="1"/>
  <c r="B39" i="1"/>
  <c r="B38" i="1"/>
  <c r="B37" i="1"/>
  <c r="B33" i="1"/>
  <c r="B32" i="1"/>
  <c r="B31" i="1"/>
  <c r="B27" i="1"/>
  <c r="B26" i="1"/>
  <c r="B25" i="1"/>
  <c r="B21" i="1"/>
  <c r="B20" i="1"/>
  <c r="B19" i="1"/>
  <c r="B15" i="1"/>
  <c r="B14" i="1"/>
  <c r="B13" i="1"/>
  <c r="B9" i="1"/>
  <c r="B8" i="1"/>
  <c r="B7" i="1"/>
  <c r="F21" i="3" l="1"/>
  <c r="E21" i="3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X69" i="1" s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5" i="1"/>
  <c r="C5" i="1"/>
  <c r="B17" i="1"/>
  <c r="B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G15" i="1" l="1"/>
  <c r="G14" i="1"/>
  <c r="G13" i="1"/>
  <c r="O15" i="1"/>
  <c r="O14" i="1"/>
  <c r="O13" i="1"/>
  <c r="S15" i="1"/>
  <c r="S14" i="1"/>
  <c r="S13" i="1"/>
  <c r="AA15" i="1"/>
  <c r="AA14" i="1"/>
  <c r="AA13" i="1"/>
  <c r="AI15" i="1"/>
  <c r="AI14" i="1"/>
  <c r="AI13" i="1"/>
  <c r="AM15" i="1"/>
  <c r="AM14" i="1"/>
  <c r="AM13" i="1"/>
  <c r="F20" i="1"/>
  <c r="F19" i="1"/>
  <c r="F21" i="1"/>
  <c r="N20" i="1"/>
  <c r="N19" i="1"/>
  <c r="N21" i="1"/>
  <c r="V20" i="1"/>
  <c r="V19" i="1"/>
  <c r="V21" i="1"/>
  <c r="Z19" i="1"/>
  <c r="Z21" i="1"/>
  <c r="Z20" i="1"/>
  <c r="AH19" i="1"/>
  <c r="AH21" i="1"/>
  <c r="AH20" i="1"/>
  <c r="D27" i="1"/>
  <c r="D25" i="1"/>
  <c r="D26" i="1"/>
  <c r="L27" i="1"/>
  <c r="L25" i="1"/>
  <c r="L26" i="1"/>
  <c r="P27" i="1"/>
  <c r="P26" i="1"/>
  <c r="P25" i="1"/>
  <c r="X27" i="1"/>
  <c r="X26" i="1"/>
  <c r="X25" i="1"/>
  <c r="AF27" i="1"/>
  <c r="AF26" i="1"/>
  <c r="AF25" i="1"/>
  <c r="F33" i="1"/>
  <c r="F32" i="1"/>
  <c r="F31" i="1"/>
  <c r="J33" i="1"/>
  <c r="J32" i="1"/>
  <c r="J31" i="1"/>
  <c r="R33" i="1"/>
  <c r="R32" i="1"/>
  <c r="R31" i="1"/>
  <c r="Z33" i="1"/>
  <c r="Z32" i="1"/>
  <c r="Z31" i="1"/>
  <c r="AH33" i="1"/>
  <c r="AH32" i="1"/>
  <c r="AH31" i="1"/>
  <c r="AL33" i="1"/>
  <c r="AL32" i="1"/>
  <c r="AL31" i="1"/>
  <c r="H38" i="1"/>
  <c r="H37" i="1"/>
  <c r="H39" i="1"/>
  <c r="P38" i="1"/>
  <c r="P37" i="1"/>
  <c r="P39" i="1"/>
  <c r="X38" i="1"/>
  <c r="X37" i="1"/>
  <c r="X39" i="1"/>
  <c r="AB38" i="1"/>
  <c r="AB37" i="1"/>
  <c r="AB39" i="1"/>
  <c r="AJ38" i="1"/>
  <c r="AJ37" i="1"/>
  <c r="AJ39" i="1"/>
  <c r="J43" i="1"/>
  <c r="J44" i="1"/>
  <c r="J45" i="1"/>
  <c r="R43" i="1"/>
  <c r="R44" i="1"/>
  <c r="R45" i="1"/>
  <c r="V45" i="1"/>
  <c r="V43" i="1"/>
  <c r="V44" i="1"/>
  <c r="AD45" i="1"/>
  <c r="AD43" i="1"/>
  <c r="AD44" i="1"/>
  <c r="AL45" i="1"/>
  <c r="AL43" i="1"/>
  <c r="AL44" i="1"/>
  <c r="H49" i="1"/>
  <c r="H51" i="1"/>
  <c r="H50" i="1"/>
  <c r="P49" i="1"/>
  <c r="P51" i="1"/>
  <c r="P50" i="1"/>
  <c r="T49" i="1"/>
  <c r="T50" i="1"/>
  <c r="T51" i="1"/>
  <c r="AB49" i="1"/>
  <c r="AB50" i="1"/>
  <c r="AB51" i="1"/>
  <c r="AF49" i="1"/>
  <c r="AF51" i="1"/>
  <c r="AF50" i="1"/>
  <c r="F57" i="1"/>
  <c r="F56" i="1"/>
  <c r="F55" i="1"/>
  <c r="N57" i="1"/>
  <c r="N56" i="1"/>
  <c r="N55" i="1"/>
  <c r="V57" i="1"/>
  <c r="V56" i="1"/>
  <c r="V55" i="1"/>
  <c r="Z57" i="1"/>
  <c r="Z55" i="1"/>
  <c r="Z56" i="1"/>
  <c r="AH57" i="1"/>
  <c r="AH55" i="1"/>
  <c r="AH56" i="1"/>
  <c r="D61" i="1"/>
  <c r="D63" i="1"/>
  <c r="D62" i="1"/>
  <c r="L61" i="1"/>
  <c r="L63" i="1"/>
  <c r="L62" i="1"/>
  <c r="T61" i="1"/>
  <c r="T63" i="1"/>
  <c r="T62" i="1"/>
  <c r="X62" i="1"/>
  <c r="X61" i="1"/>
  <c r="X63" i="1"/>
  <c r="AF62" i="1"/>
  <c r="AF61" i="1"/>
  <c r="AF63" i="1"/>
  <c r="F67" i="1"/>
  <c r="F69" i="1"/>
  <c r="F68" i="1"/>
  <c r="N67" i="1"/>
  <c r="N69" i="1"/>
  <c r="N68" i="1"/>
  <c r="R67" i="1"/>
  <c r="R69" i="1"/>
  <c r="R68" i="1"/>
  <c r="Z67" i="1"/>
  <c r="Z69" i="1"/>
  <c r="Z68" i="1"/>
  <c r="AH67" i="1"/>
  <c r="AH69" i="1"/>
  <c r="AH68" i="1"/>
  <c r="D75" i="1"/>
  <c r="D74" i="1"/>
  <c r="D73" i="1"/>
  <c r="H75" i="1"/>
  <c r="H74" i="1"/>
  <c r="H73" i="1"/>
  <c r="P75" i="1"/>
  <c r="P74" i="1"/>
  <c r="P73" i="1"/>
  <c r="X75" i="1"/>
  <c r="X74" i="1"/>
  <c r="X73" i="1"/>
  <c r="AB75" i="1"/>
  <c r="AB74" i="1"/>
  <c r="AB73" i="1"/>
  <c r="AJ75" i="1"/>
  <c r="AJ74" i="1"/>
  <c r="AJ73" i="1"/>
  <c r="H14" i="1"/>
  <c r="H13" i="1"/>
  <c r="H15" i="1"/>
  <c r="P14" i="1"/>
  <c r="P13" i="1"/>
  <c r="P15" i="1"/>
  <c r="X14" i="1"/>
  <c r="X13" i="1"/>
  <c r="X15" i="1"/>
  <c r="AB14" i="1"/>
  <c r="AB13" i="1"/>
  <c r="AB15" i="1"/>
  <c r="AJ14" i="1"/>
  <c r="AJ13" i="1"/>
  <c r="AJ15" i="1"/>
  <c r="G21" i="1"/>
  <c r="G20" i="1"/>
  <c r="G19" i="1"/>
  <c r="O21" i="1"/>
  <c r="O19" i="1"/>
  <c r="O20" i="1"/>
  <c r="S21" i="1"/>
  <c r="S20" i="1"/>
  <c r="S19" i="1"/>
  <c r="AA21" i="1"/>
  <c r="AA19" i="1"/>
  <c r="AA20" i="1"/>
  <c r="AI21" i="1"/>
  <c r="AI19" i="1"/>
  <c r="AI20" i="1"/>
  <c r="E27" i="1"/>
  <c r="E26" i="1"/>
  <c r="E25" i="1"/>
  <c r="M27" i="1"/>
  <c r="M26" i="1"/>
  <c r="M25" i="1"/>
  <c r="Q27" i="1"/>
  <c r="Q26" i="1"/>
  <c r="Q25" i="1"/>
  <c r="Y27" i="1"/>
  <c r="Y26" i="1"/>
  <c r="Y25" i="1"/>
  <c r="AG27" i="1"/>
  <c r="AG26" i="1"/>
  <c r="AG25" i="1"/>
  <c r="C32" i="1"/>
  <c r="C31" i="1"/>
  <c r="C33" i="1"/>
  <c r="G32" i="1"/>
  <c r="G31" i="1"/>
  <c r="G33" i="1"/>
  <c r="O32" i="1"/>
  <c r="O31" i="1"/>
  <c r="O33" i="1"/>
  <c r="W32" i="1"/>
  <c r="W31" i="1"/>
  <c r="W33" i="1"/>
  <c r="AE32" i="1"/>
  <c r="AE31" i="1"/>
  <c r="AE33" i="1"/>
  <c r="AI32" i="1"/>
  <c r="AI31" i="1"/>
  <c r="AI33" i="1"/>
  <c r="E37" i="1"/>
  <c r="E38" i="1"/>
  <c r="E39" i="1"/>
  <c r="M37" i="1"/>
  <c r="M38" i="1"/>
  <c r="M39" i="1"/>
  <c r="U37" i="1"/>
  <c r="U38" i="1"/>
  <c r="U39" i="1"/>
  <c r="Y37" i="1"/>
  <c r="Y38" i="1"/>
  <c r="Y39" i="1"/>
  <c r="AG37" i="1"/>
  <c r="AG38" i="1"/>
  <c r="AG39" i="1"/>
  <c r="C45" i="1"/>
  <c r="C43" i="1"/>
  <c r="C44" i="1"/>
  <c r="G45" i="1"/>
  <c r="G43" i="1"/>
  <c r="G44" i="1"/>
  <c r="O45" i="1"/>
  <c r="O43" i="1"/>
  <c r="O44" i="1"/>
  <c r="W45" i="1"/>
  <c r="W43" i="1"/>
  <c r="W44" i="1"/>
  <c r="AE43" i="1"/>
  <c r="AE44" i="1"/>
  <c r="AE45" i="1"/>
  <c r="AI45" i="1"/>
  <c r="AI43" i="1"/>
  <c r="AI44" i="1"/>
  <c r="E51" i="1"/>
  <c r="E50" i="1"/>
  <c r="E49" i="1"/>
  <c r="M51" i="1"/>
  <c r="M50" i="1"/>
  <c r="M49" i="1"/>
  <c r="Q51" i="1"/>
  <c r="Q49" i="1"/>
  <c r="Q50" i="1"/>
  <c r="U51" i="1"/>
  <c r="U50" i="1"/>
  <c r="U49" i="1"/>
  <c r="Y51" i="1"/>
  <c r="Y49" i="1"/>
  <c r="Y50" i="1"/>
  <c r="AC51" i="1"/>
  <c r="AC50" i="1"/>
  <c r="AC49" i="1"/>
  <c r="AG51" i="1"/>
  <c r="AG49" i="1"/>
  <c r="AG50" i="1"/>
  <c r="AK51" i="1"/>
  <c r="AK50" i="1"/>
  <c r="AK49" i="1"/>
  <c r="C57" i="1"/>
  <c r="C56" i="1"/>
  <c r="C55" i="1"/>
  <c r="G57" i="1"/>
  <c r="G56" i="1"/>
  <c r="G55" i="1"/>
  <c r="K57" i="1"/>
  <c r="K56" i="1"/>
  <c r="K55" i="1"/>
  <c r="O57" i="1"/>
  <c r="O56" i="1"/>
  <c r="O55" i="1"/>
  <c r="S57" i="1"/>
  <c r="S56" i="1"/>
  <c r="S55" i="1"/>
  <c r="W57" i="1"/>
  <c r="W56" i="1"/>
  <c r="W55" i="1"/>
  <c r="AA57" i="1"/>
  <c r="AA56" i="1"/>
  <c r="AA55" i="1"/>
  <c r="AE57" i="1"/>
  <c r="AE56" i="1"/>
  <c r="AE55" i="1"/>
  <c r="AI57" i="1"/>
  <c r="AI56" i="1"/>
  <c r="AI55" i="1"/>
  <c r="AM56" i="1"/>
  <c r="AM57" i="1"/>
  <c r="AM55" i="1"/>
  <c r="E63" i="1"/>
  <c r="E61" i="1"/>
  <c r="E62" i="1"/>
  <c r="I63" i="1"/>
  <c r="I62" i="1"/>
  <c r="I61" i="1"/>
  <c r="M63" i="1"/>
  <c r="M61" i="1"/>
  <c r="M62" i="1"/>
  <c r="Q63" i="1"/>
  <c r="Q62" i="1"/>
  <c r="Q61" i="1"/>
  <c r="U63" i="1"/>
  <c r="U61" i="1"/>
  <c r="U62" i="1"/>
  <c r="Y63" i="1"/>
  <c r="Y62" i="1"/>
  <c r="Y61" i="1"/>
  <c r="AC63" i="1"/>
  <c r="AC62" i="1"/>
  <c r="AC61" i="1"/>
  <c r="AG63" i="1"/>
  <c r="AG62" i="1"/>
  <c r="AG61" i="1"/>
  <c r="AK63" i="1"/>
  <c r="AK61" i="1"/>
  <c r="AK62" i="1"/>
  <c r="C69" i="1"/>
  <c r="C68" i="1"/>
  <c r="C67" i="1"/>
  <c r="G69" i="1"/>
  <c r="G68" i="1"/>
  <c r="G67" i="1"/>
  <c r="K69" i="1"/>
  <c r="K68" i="1"/>
  <c r="K67" i="1"/>
  <c r="O69" i="1"/>
  <c r="O68" i="1"/>
  <c r="O67" i="1"/>
  <c r="S69" i="1"/>
  <c r="S68" i="1"/>
  <c r="S67" i="1"/>
  <c r="W69" i="1"/>
  <c r="W68" i="1"/>
  <c r="W67" i="1"/>
  <c r="AA69" i="1"/>
  <c r="AA68" i="1"/>
  <c r="AA67" i="1"/>
  <c r="AE69" i="1"/>
  <c r="AE68" i="1"/>
  <c r="AE67" i="1"/>
  <c r="AI69" i="1"/>
  <c r="AI68" i="1"/>
  <c r="AI67" i="1"/>
  <c r="AM69" i="1"/>
  <c r="AM68" i="1"/>
  <c r="AM67" i="1"/>
  <c r="E75" i="1"/>
  <c r="E74" i="1"/>
  <c r="E73" i="1"/>
  <c r="I75" i="1"/>
  <c r="I74" i="1"/>
  <c r="I73" i="1"/>
  <c r="M75" i="1"/>
  <c r="M74" i="1"/>
  <c r="M73" i="1"/>
  <c r="Q75" i="1"/>
  <c r="Q74" i="1"/>
  <c r="Q73" i="1"/>
  <c r="U75" i="1"/>
  <c r="U74" i="1"/>
  <c r="U73" i="1"/>
  <c r="Y75" i="1"/>
  <c r="Y74" i="1"/>
  <c r="Y73" i="1"/>
  <c r="AC75" i="1"/>
  <c r="AC74" i="1"/>
  <c r="AC73" i="1"/>
  <c r="AG75" i="1"/>
  <c r="AG74" i="1"/>
  <c r="AG73" i="1"/>
  <c r="AK75" i="1"/>
  <c r="AK74" i="1"/>
  <c r="AK73" i="1"/>
  <c r="E13" i="1"/>
  <c r="E14" i="1"/>
  <c r="E15" i="1"/>
  <c r="I13" i="1"/>
  <c r="I14" i="1"/>
  <c r="I15" i="1"/>
  <c r="M13" i="1"/>
  <c r="M14" i="1"/>
  <c r="M15" i="1"/>
  <c r="Q13" i="1"/>
  <c r="Q14" i="1"/>
  <c r="Q15" i="1"/>
  <c r="U13" i="1"/>
  <c r="U14" i="1"/>
  <c r="U15" i="1"/>
  <c r="Y13" i="1"/>
  <c r="Y14" i="1"/>
  <c r="Y15" i="1"/>
  <c r="AC13" i="1"/>
  <c r="AC14" i="1"/>
  <c r="AC15" i="1"/>
  <c r="AG13" i="1"/>
  <c r="AG14" i="1"/>
  <c r="AG15" i="1"/>
  <c r="AK13" i="1"/>
  <c r="AK14" i="1"/>
  <c r="AK15" i="1"/>
  <c r="D21" i="1"/>
  <c r="D20" i="1"/>
  <c r="D19" i="1"/>
  <c r="H21" i="1"/>
  <c r="H20" i="1"/>
  <c r="H19" i="1"/>
  <c r="L21" i="1"/>
  <c r="L20" i="1"/>
  <c r="L19" i="1"/>
  <c r="P21" i="1"/>
  <c r="P20" i="1"/>
  <c r="P19" i="1"/>
  <c r="T21" i="1"/>
  <c r="T20" i="1"/>
  <c r="T19" i="1"/>
  <c r="X21" i="1"/>
  <c r="X20" i="1"/>
  <c r="X19" i="1"/>
  <c r="AB21" i="1"/>
  <c r="AB20" i="1"/>
  <c r="AB19" i="1"/>
  <c r="AF21" i="1"/>
  <c r="AF20" i="1"/>
  <c r="AF19" i="1"/>
  <c r="AJ21" i="1"/>
  <c r="AJ20" i="1"/>
  <c r="AJ19" i="1"/>
  <c r="F26" i="1"/>
  <c r="F25" i="1"/>
  <c r="F27" i="1"/>
  <c r="J26" i="1"/>
  <c r="J25" i="1"/>
  <c r="J27" i="1"/>
  <c r="N26" i="1"/>
  <c r="N25" i="1"/>
  <c r="N27" i="1"/>
  <c r="R26" i="1"/>
  <c r="R25" i="1"/>
  <c r="R27" i="1"/>
  <c r="V26" i="1"/>
  <c r="V25" i="1"/>
  <c r="V27" i="1"/>
  <c r="Z26" i="1"/>
  <c r="Z25" i="1"/>
  <c r="Z27" i="1"/>
  <c r="AD26" i="1"/>
  <c r="AD25" i="1"/>
  <c r="AD27" i="1"/>
  <c r="AH26" i="1"/>
  <c r="AH25" i="1"/>
  <c r="AH27" i="1"/>
  <c r="AL26" i="1"/>
  <c r="AL25" i="1"/>
  <c r="AL27" i="1"/>
  <c r="D31" i="1"/>
  <c r="D33" i="1"/>
  <c r="D32" i="1"/>
  <c r="H31" i="1"/>
  <c r="H32" i="1"/>
  <c r="H33" i="1"/>
  <c r="L31" i="1"/>
  <c r="L33" i="1"/>
  <c r="L32" i="1"/>
  <c r="P31" i="1"/>
  <c r="P32" i="1"/>
  <c r="P33" i="1"/>
  <c r="T31" i="1"/>
  <c r="T33" i="1"/>
  <c r="T32" i="1"/>
  <c r="X31" i="1"/>
  <c r="X32" i="1"/>
  <c r="X33" i="1"/>
  <c r="AB31" i="1"/>
  <c r="AB32" i="1"/>
  <c r="AB33" i="1"/>
  <c r="AF31" i="1"/>
  <c r="AF32" i="1"/>
  <c r="AF33" i="1"/>
  <c r="AJ31" i="1"/>
  <c r="AJ33" i="1"/>
  <c r="AJ32" i="1"/>
  <c r="F39" i="1"/>
  <c r="F37" i="1"/>
  <c r="F38" i="1"/>
  <c r="J39" i="1"/>
  <c r="J37" i="1"/>
  <c r="J38" i="1"/>
  <c r="N39" i="1"/>
  <c r="N37" i="1"/>
  <c r="N38" i="1"/>
  <c r="R39" i="1"/>
  <c r="R37" i="1"/>
  <c r="R38" i="1"/>
  <c r="V39" i="1"/>
  <c r="V37" i="1"/>
  <c r="V38" i="1"/>
  <c r="Z39" i="1"/>
  <c r="Z37" i="1"/>
  <c r="Z38" i="1"/>
  <c r="AD39" i="1"/>
  <c r="AD37" i="1"/>
  <c r="AD38" i="1"/>
  <c r="AH39" i="1"/>
  <c r="AH37" i="1"/>
  <c r="AH38" i="1"/>
  <c r="AL39" i="1"/>
  <c r="AL37" i="1"/>
  <c r="AL38" i="1"/>
  <c r="D45" i="1"/>
  <c r="D44" i="1"/>
  <c r="D43" i="1"/>
  <c r="H45" i="1"/>
  <c r="H44" i="1"/>
  <c r="H43" i="1"/>
  <c r="L45" i="1"/>
  <c r="L44" i="1"/>
  <c r="L43" i="1"/>
  <c r="P45" i="1"/>
  <c r="P44" i="1"/>
  <c r="P43" i="1"/>
  <c r="T45" i="1"/>
  <c r="T44" i="1"/>
  <c r="T43" i="1"/>
  <c r="X45" i="1"/>
  <c r="X44" i="1"/>
  <c r="X43" i="1"/>
  <c r="AB45" i="1"/>
  <c r="AB44" i="1"/>
  <c r="AB43" i="1"/>
  <c r="AF45" i="1"/>
  <c r="AF44" i="1"/>
  <c r="AF43" i="1"/>
  <c r="AJ45" i="1"/>
  <c r="AJ44" i="1"/>
  <c r="AJ43" i="1"/>
  <c r="F51" i="1"/>
  <c r="F50" i="1"/>
  <c r="F49" i="1"/>
  <c r="J51" i="1"/>
  <c r="J50" i="1"/>
  <c r="J49" i="1"/>
  <c r="N51" i="1"/>
  <c r="N50" i="1"/>
  <c r="N49" i="1"/>
  <c r="R51" i="1"/>
  <c r="R50" i="1"/>
  <c r="R49" i="1"/>
  <c r="V51" i="1"/>
  <c r="V50" i="1"/>
  <c r="V49" i="1"/>
  <c r="Z51" i="1"/>
  <c r="Z50" i="1"/>
  <c r="Z49" i="1"/>
  <c r="AD51" i="1"/>
  <c r="AD50" i="1"/>
  <c r="AD49" i="1"/>
  <c r="AH51" i="1"/>
  <c r="AH50" i="1"/>
  <c r="AH49" i="1"/>
  <c r="AL51" i="1"/>
  <c r="AL50" i="1"/>
  <c r="AL49" i="1"/>
  <c r="D56" i="1"/>
  <c r="D55" i="1"/>
  <c r="D57" i="1"/>
  <c r="H56" i="1"/>
  <c r="H55" i="1"/>
  <c r="H57" i="1"/>
  <c r="L56" i="1"/>
  <c r="L55" i="1"/>
  <c r="L57" i="1"/>
  <c r="P56" i="1"/>
  <c r="P55" i="1"/>
  <c r="P57" i="1"/>
  <c r="T56" i="1"/>
  <c r="T55" i="1"/>
  <c r="T57" i="1"/>
  <c r="X56" i="1"/>
  <c r="X55" i="1"/>
  <c r="X57" i="1"/>
  <c r="AB56" i="1"/>
  <c r="AB55" i="1"/>
  <c r="AB57" i="1"/>
  <c r="AF56" i="1"/>
  <c r="AF55" i="1"/>
  <c r="AF57" i="1"/>
  <c r="AJ57" i="1"/>
  <c r="AJ56" i="1"/>
  <c r="AJ55" i="1"/>
  <c r="F63" i="1"/>
  <c r="F62" i="1"/>
  <c r="F61" i="1"/>
  <c r="J63" i="1"/>
  <c r="J62" i="1"/>
  <c r="J61" i="1"/>
  <c r="N63" i="1"/>
  <c r="N62" i="1"/>
  <c r="N61" i="1"/>
  <c r="R63" i="1"/>
  <c r="R62" i="1"/>
  <c r="R61" i="1"/>
  <c r="V63" i="1"/>
  <c r="V62" i="1"/>
  <c r="V61" i="1"/>
  <c r="Z63" i="1"/>
  <c r="Z62" i="1"/>
  <c r="Z61" i="1"/>
  <c r="AD63" i="1"/>
  <c r="AD62" i="1"/>
  <c r="AD61" i="1"/>
  <c r="AH63" i="1"/>
  <c r="AH62" i="1"/>
  <c r="AH61" i="1"/>
  <c r="AL63" i="1"/>
  <c r="AL62" i="1"/>
  <c r="AL61" i="1"/>
  <c r="D69" i="1"/>
  <c r="D68" i="1"/>
  <c r="D67" i="1"/>
  <c r="H69" i="1"/>
  <c r="H68" i="1"/>
  <c r="H67" i="1"/>
  <c r="L69" i="1"/>
  <c r="L68" i="1"/>
  <c r="L67" i="1"/>
  <c r="P69" i="1"/>
  <c r="P68" i="1"/>
  <c r="P67" i="1"/>
  <c r="T69" i="1"/>
  <c r="T68" i="1"/>
  <c r="T67" i="1"/>
  <c r="X68" i="1"/>
  <c r="X67" i="1"/>
  <c r="AB69" i="1"/>
  <c r="AB68" i="1"/>
  <c r="AB67" i="1"/>
  <c r="AF69" i="1"/>
  <c r="AF68" i="1"/>
  <c r="AF67" i="1"/>
  <c r="AJ69" i="1"/>
  <c r="AJ68" i="1"/>
  <c r="AJ67" i="1"/>
  <c r="F74" i="1"/>
  <c r="F73" i="1"/>
  <c r="F75" i="1"/>
  <c r="J74" i="1"/>
  <c r="J73" i="1"/>
  <c r="J75" i="1"/>
  <c r="N74" i="1"/>
  <c r="N73" i="1"/>
  <c r="N75" i="1"/>
  <c r="R74" i="1"/>
  <c r="R73" i="1"/>
  <c r="R75" i="1"/>
  <c r="V74" i="1"/>
  <c r="V73" i="1"/>
  <c r="V75" i="1"/>
  <c r="Z74" i="1"/>
  <c r="Z73" i="1"/>
  <c r="Z75" i="1"/>
  <c r="AD74" i="1"/>
  <c r="AD73" i="1"/>
  <c r="AD75" i="1"/>
  <c r="AH74" i="1"/>
  <c r="AH73" i="1"/>
  <c r="AH75" i="1"/>
  <c r="AL74" i="1"/>
  <c r="AL73" i="1"/>
  <c r="AL75" i="1"/>
  <c r="C15" i="1"/>
  <c r="C14" i="1"/>
  <c r="C13" i="1"/>
  <c r="K15" i="1"/>
  <c r="K14" i="1"/>
  <c r="K13" i="1"/>
  <c r="W15" i="1"/>
  <c r="W14" i="1"/>
  <c r="W13" i="1"/>
  <c r="AE15" i="1"/>
  <c r="AE14" i="1"/>
  <c r="AE13" i="1"/>
  <c r="D8" i="1"/>
  <c r="D9" i="1"/>
  <c r="D7" i="1"/>
  <c r="J19" i="1"/>
  <c r="J21" i="1"/>
  <c r="J20" i="1"/>
  <c r="R19" i="1"/>
  <c r="R21" i="1"/>
  <c r="R20" i="1"/>
  <c r="AD19" i="1"/>
  <c r="AD20" i="1"/>
  <c r="AD21" i="1"/>
  <c r="AL19" i="1"/>
  <c r="AL20" i="1"/>
  <c r="AL21" i="1"/>
  <c r="H27" i="1"/>
  <c r="H26" i="1"/>
  <c r="H25" i="1"/>
  <c r="T27" i="1"/>
  <c r="T25" i="1"/>
  <c r="T26" i="1"/>
  <c r="AB27" i="1"/>
  <c r="AB25" i="1"/>
  <c r="AB26" i="1"/>
  <c r="AJ27" i="1"/>
  <c r="AJ25" i="1"/>
  <c r="AJ26" i="1"/>
  <c r="N33" i="1"/>
  <c r="N32" i="1"/>
  <c r="N31" i="1"/>
  <c r="V33" i="1"/>
  <c r="V32" i="1"/>
  <c r="V31" i="1"/>
  <c r="AD33" i="1"/>
  <c r="AD32" i="1"/>
  <c r="AD31" i="1"/>
  <c r="D38" i="1"/>
  <c r="D37" i="1"/>
  <c r="D39" i="1"/>
  <c r="L38" i="1"/>
  <c r="L37" i="1"/>
  <c r="L39" i="1"/>
  <c r="T38" i="1"/>
  <c r="T37" i="1"/>
  <c r="T39" i="1"/>
  <c r="AF38" i="1"/>
  <c r="AF37" i="1"/>
  <c r="AF39" i="1"/>
  <c r="F43" i="1"/>
  <c r="F44" i="1"/>
  <c r="F45" i="1"/>
  <c r="N43" i="1"/>
  <c r="N44" i="1"/>
  <c r="N45" i="1"/>
  <c r="Z43" i="1"/>
  <c r="Z44" i="1"/>
  <c r="Z45" i="1"/>
  <c r="AH43" i="1"/>
  <c r="AH44" i="1"/>
  <c r="AH45" i="1"/>
  <c r="D49" i="1"/>
  <c r="D50" i="1"/>
  <c r="D51" i="1"/>
  <c r="L49" i="1"/>
  <c r="L50" i="1"/>
  <c r="L51" i="1"/>
  <c r="X49" i="1"/>
  <c r="X51" i="1"/>
  <c r="X50" i="1"/>
  <c r="AJ49" i="1"/>
  <c r="AJ50" i="1"/>
  <c r="AJ51" i="1"/>
  <c r="J57" i="1"/>
  <c r="J55" i="1"/>
  <c r="J56" i="1"/>
  <c r="R57" i="1"/>
  <c r="R55" i="1"/>
  <c r="R56" i="1"/>
  <c r="AD57" i="1"/>
  <c r="AD56" i="1"/>
  <c r="AD55" i="1"/>
  <c r="AL57" i="1"/>
  <c r="AL56" i="1"/>
  <c r="AL55" i="1"/>
  <c r="H61" i="1"/>
  <c r="H63" i="1"/>
  <c r="H62" i="1"/>
  <c r="P61" i="1"/>
  <c r="P62" i="1"/>
  <c r="P63" i="1"/>
  <c r="AB62" i="1"/>
  <c r="AB61" i="1"/>
  <c r="AB63" i="1"/>
  <c r="AJ62" i="1"/>
  <c r="AJ61" i="1"/>
  <c r="AJ63" i="1"/>
  <c r="J67" i="1"/>
  <c r="J69" i="1"/>
  <c r="J68" i="1"/>
  <c r="V67" i="1"/>
  <c r="V69" i="1"/>
  <c r="V68" i="1"/>
  <c r="AD67" i="1"/>
  <c r="AD69" i="1"/>
  <c r="AD68" i="1"/>
  <c r="AL67" i="1"/>
  <c r="AL69" i="1"/>
  <c r="AL68" i="1"/>
  <c r="L75" i="1"/>
  <c r="L74" i="1"/>
  <c r="L73" i="1"/>
  <c r="T75" i="1"/>
  <c r="T74" i="1"/>
  <c r="T73" i="1"/>
  <c r="AF75" i="1"/>
  <c r="AF74" i="1"/>
  <c r="AF73" i="1"/>
  <c r="D14" i="1"/>
  <c r="D13" i="1"/>
  <c r="D15" i="1"/>
  <c r="L14" i="1"/>
  <c r="L13" i="1"/>
  <c r="L15" i="1"/>
  <c r="T14" i="1"/>
  <c r="T13" i="1"/>
  <c r="T15" i="1"/>
  <c r="AF14" i="1"/>
  <c r="AF13" i="1"/>
  <c r="AF15" i="1"/>
  <c r="C21" i="1"/>
  <c r="C20" i="1"/>
  <c r="C19" i="1"/>
  <c r="K21" i="1"/>
  <c r="K20" i="1"/>
  <c r="K19" i="1"/>
  <c r="W21" i="1"/>
  <c r="W20" i="1"/>
  <c r="W19" i="1"/>
  <c r="AE21" i="1"/>
  <c r="AE20" i="1"/>
  <c r="AE19" i="1"/>
  <c r="AM21" i="1"/>
  <c r="AM20" i="1"/>
  <c r="AM19" i="1"/>
  <c r="I27" i="1"/>
  <c r="I26" i="1"/>
  <c r="I25" i="1"/>
  <c r="U27" i="1"/>
  <c r="U26" i="1"/>
  <c r="U25" i="1"/>
  <c r="AC27" i="1"/>
  <c r="AC26" i="1"/>
  <c r="AC25" i="1"/>
  <c r="AK27" i="1"/>
  <c r="AK26" i="1"/>
  <c r="AK25" i="1"/>
  <c r="K32" i="1"/>
  <c r="K31" i="1"/>
  <c r="K33" i="1"/>
  <c r="S32" i="1"/>
  <c r="S31" i="1"/>
  <c r="S33" i="1"/>
  <c r="AA32" i="1"/>
  <c r="AA31" i="1"/>
  <c r="AA33" i="1"/>
  <c r="AM32" i="1"/>
  <c r="AM31" i="1"/>
  <c r="AM33" i="1"/>
  <c r="I37" i="1"/>
  <c r="I38" i="1"/>
  <c r="I39" i="1"/>
  <c r="Q37" i="1"/>
  <c r="Q38" i="1"/>
  <c r="Q39" i="1"/>
  <c r="AC37" i="1"/>
  <c r="AC38" i="1"/>
  <c r="AC39" i="1"/>
  <c r="AK37" i="1"/>
  <c r="AK38" i="1"/>
  <c r="AK39" i="1"/>
  <c r="K45" i="1"/>
  <c r="K43" i="1"/>
  <c r="K44" i="1"/>
  <c r="S45" i="1"/>
  <c r="S43" i="1"/>
  <c r="S44" i="1"/>
  <c r="AA45" i="1"/>
  <c r="AA43" i="1"/>
  <c r="AA44" i="1"/>
  <c r="AM45" i="1"/>
  <c r="AM43" i="1"/>
  <c r="AM44" i="1"/>
  <c r="I51" i="1"/>
  <c r="I49" i="1"/>
  <c r="I50" i="1"/>
  <c r="F15" i="1"/>
  <c r="F13" i="1"/>
  <c r="F14" i="1"/>
  <c r="J15" i="1"/>
  <c r="J13" i="1"/>
  <c r="J14" i="1"/>
  <c r="N15" i="1"/>
  <c r="N13" i="1"/>
  <c r="N14" i="1"/>
  <c r="R15" i="1"/>
  <c r="R13" i="1"/>
  <c r="R14" i="1"/>
  <c r="V15" i="1"/>
  <c r="V13" i="1"/>
  <c r="V14" i="1"/>
  <c r="Z15" i="1"/>
  <c r="Z13" i="1"/>
  <c r="Z14" i="1"/>
  <c r="AD15" i="1"/>
  <c r="AD13" i="1"/>
  <c r="AD14" i="1"/>
  <c r="AH15" i="1"/>
  <c r="AH13" i="1"/>
  <c r="AH14" i="1"/>
  <c r="AL15" i="1"/>
  <c r="AL13" i="1"/>
  <c r="AL14" i="1"/>
  <c r="C8" i="1"/>
  <c r="C7" i="1"/>
  <c r="C9" i="1"/>
  <c r="E20" i="1"/>
  <c r="E19" i="1"/>
  <c r="E21" i="1"/>
  <c r="I20" i="1"/>
  <c r="I21" i="1"/>
  <c r="I19" i="1"/>
  <c r="M20" i="1"/>
  <c r="M19" i="1"/>
  <c r="M21" i="1"/>
  <c r="Q20" i="1"/>
  <c r="Q21" i="1"/>
  <c r="Q19" i="1"/>
  <c r="U20" i="1"/>
  <c r="U19" i="1"/>
  <c r="U21" i="1"/>
  <c r="Y20" i="1"/>
  <c r="Y21" i="1"/>
  <c r="Y19" i="1"/>
  <c r="AC20" i="1"/>
  <c r="AC19" i="1"/>
  <c r="AC21" i="1"/>
  <c r="AG20" i="1"/>
  <c r="AG19" i="1"/>
  <c r="AG21" i="1"/>
  <c r="AK20" i="1"/>
  <c r="AK19" i="1"/>
  <c r="AK21" i="1"/>
  <c r="C25" i="1"/>
  <c r="C27" i="1"/>
  <c r="C26" i="1"/>
  <c r="G25" i="1"/>
  <c r="G26" i="1"/>
  <c r="G27" i="1"/>
  <c r="K25" i="1"/>
  <c r="K27" i="1"/>
  <c r="K26" i="1"/>
  <c r="O25" i="1"/>
  <c r="O26" i="1"/>
  <c r="O27" i="1"/>
  <c r="S25" i="1"/>
  <c r="S27" i="1"/>
  <c r="S26" i="1"/>
  <c r="W25" i="1"/>
  <c r="W26" i="1"/>
  <c r="W27" i="1"/>
  <c r="AA25" i="1"/>
  <c r="AA26" i="1"/>
  <c r="AA27" i="1"/>
  <c r="AE25" i="1"/>
  <c r="AE26" i="1"/>
  <c r="AE27" i="1"/>
  <c r="AI25" i="1"/>
  <c r="AI27" i="1"/>
  <c r="AI26" i="1"/>
  <c r="AM25" i="1"/>
  <c r="AM26" i="1"/>
  <c r="AM27" i="1"/>
  <c r="E33" i="1"/>
  <c r="E31" i="1"/>
  <c r="E32" i="1"/>
  <c r="I33" i="1"/>
  <c r="I32" i="1"/>
  <c r="I31" i="1"/>
  <c r="M33" i="1"/>
  <c r="M31" i="1"/>
  <c r="M32" i="1"/>
  <c r="Q33" i="1"/>
  <c r="Q32" i="1"/>
  <c r="Q31" i="1"/>
  <c r="U33" i="1"/>
  <c r="U31" i="1"/>
  <c r="U32" i="1"/>
  <c r="Y33" i="1"/>
  <c r="Y32" i="1"/>
  <c r="Y31" i="1"/>
  <c r="AC33" i="1"/>
  <c r="AC31" i="1"/>
  <c r="AC32" i="1"/>
  <c r="AG33" i="1"/>
  <c r="AG31" i="1"/>
  <c r="AG32" i="1"/>
  <c r="AK33" i="1"/>
  <c r="AK31" i="1"/>
  <c r="AK32" i="1"/>
  <c r="C39" i="1"/>
  <c r="C38" i="1"/>
  <c r="C37" i="1"/>
  <c r="G39" i="1"/>
  <c r="G38" i="1"/>
  <c r="G37" i="1"/>
  <c r="K39" i="1"/>
  <c r="K38" i="1"/>
  <c r="K37" i="1"/>
  <c r="O39" i="1"/>
  <c r="O38" i="1"/>
  <c r="O37" i="1"/>
  <c r="S39" i="1"/>
  <c r="S38" i="1"/>
  <c r="S37" i="1"/>
  <c r="W39" i="1"/>
  <c r="W38" i="1"/>
  <c r="W37" i="1"/>
  <c r="AA39" i="1"/>
  <c r="AA38" i="1"/>
  <c r="AA37" i="1"/>
  <c r="AE39" i="1"/>
  <c r="AE38" i="1"/>
  <c r="AE37" i="1"/>
  <c r="AI39" i="1"/>
  <c r="AI38" i="1"/>
  <c r="AI37" i="1"/>
  <c r="AM39" i="1"/>
  <c r="AM38" i="1"/>
  <c r="AM37" i="1"/>
  <c r="E44" i="1"/>
  <c r="E43" i="1"/>
  <c r="E45" i="1"/>
  <c r="I44" i="1"/>
  <c r="I43" i="1"/>
  <c r="I45" i="1"/>
  <c r="M44" i="1"/>
  <c r="M43" i="1"/>
  <c r="M45" i="1"/>
  <c r="Q45" i="1"/>
  <c r="Q44" i="1"/>
  <c r="Q43" i="1"/>
  <c r="U45" i="1"/>
  <c r="U44" i="1"/>
  <c r="U43" i="1"/>
  <c r="Y45" i="1"/>
  <c r="Y44" i="1"/>
  <c r="Y43" i="1"/>
  <c r="AC45" i="1"/>
  <c r="AC44" i="1"/>
  <c r="AC43" i="1"/>
  <c r="AG45" i="1"/>
  <c r="AG44" i="1"/>
  <c r="AG43" i="1"/>
  <c r="AK45" i="1"/>
  <c r="AK44" i="1"/>
  <c r="AK43" i="1"/>
  <c r="C50" i="1"/>
  <c r="C49" i="1"/>
  <c r="C51" i="1"/>
  <c r="G50" i="1"/>
  <c r="G49" i="1"/>
  <c r="G51" i="1"/>
  <c r="K50" i="1"/>
  <c r="K49" i="1"/>
  <c r="K51" i="1"/>
  <c r="O50" i="1"/>
  <c r="O49" i="1"/>
  <c r="O51" i="1"/>
  <c r="S50" i="1"/>
  <c r="S49" i="1"/>
  <c r="S51" i="1"/>
  <c r="W50" i="1"/>
  <c r="W49" i="1"/>
  <c r="W51" i="1"/>
  <c r="AA50" i="1"/>
  <c r="AA49" i="1"/>
  <c r="AA51" i="1"/>
  <c r="AE50" i="1"/>
  <c r="AE49" i="1"/>
  <c r="AE51" i="1"/>
  <c r="AI50" i="1"/>
  <c r="AI49" i="1"/>
  <c r="AI51" i="1"/>
  <c r="AM50" i="1"/>
  <c r="AM49" i="1"/>
  <c r="AM51" i="1"/>
  <c r="E55" i="1"/>
  <c r="E56" i="1"/>
  <c r="E57" i="1"/>
  <c r="I55" i="1"/>
  <c r="I57" i="1"/>
  <c r="I56" i="1"/>
  <c r="M55" i="1"/>
  <c r="M56" i="1"/>
  <c r="M57" i="1"/>
  <c r="Q55" i="1"/>
  <c r="Q57" i="1"/>
  <c r="Q56" i="1"/>
  <c r="U55" i="1"/>
  <c r="U56" i="1"/>
  <c r="U57" i="1"/>
  <c r="Y55" i="1"/>
  <c r="Y57" i="1"/>
  <c r="Y56" i="1"/>
  <c r="AC55" i="1"/>
  <c r="AC56" i="1"/>
  <c r="AC57" i="1"/>
  <c r="AG55" i="1"/>
  <c r="AG57" i="1"/>
  <c r="AG56" i="1"/>
  <c r="AK57" i="1"/>
  <c r="AK55" i="1"/>
  <c r="AK56" i="1"/>
  <c r="C63" i="1"/>
  <c r="C62" i="1"/>
  <c r="C61" i="1"/>
  <c r="G63" i="1"/>
  <c r="G62" i="1"/>
  <c r="G61" i="1"/>
  <c r="K63" i="1"/>
  <c r="K62" i="1"/>
  <c r="K61" i="1"/>
  <c r="O63" i="1"/>
  <c r="O62" i="1"/>
  <c r="O61" i="1"/>
  <c r="S63" i="1"/>
  <c r="S62" i="1"/>
  <c r="S61" i="1"/>
  <c r="W63" i="1"/>
  <c r="W62" i="1"/>
  <c r="W61" i="1"/>
  <c r="AA63" i="1"/>
  <c r="AA62" i="1"/>
  <c r="AA61" i="1"/>
  <c r="AE63" i="1"/>
  <c r="AE62" i="1"/>
  <c r="AE61" i="1"/>
  <c r="AI63" i="1"/>
  <c r="AI62" i="1"/>
  <c r="AI61" i="1"/>
  <c r="AM63" i="1"/>
  <c r="AM62" i="1"/>
  <c r="AM61" i="1"/>
  <c r="E68" i="1"/>
  <c r="E67" i="1"/>
  <c r="E69" i="1"/>
  <c r="I68" i="1"/>
  <c r="I67" i="1"/>
  <c r="I69" i="1"/>
  <c r="M68" i="1"/>
  <c r="M67" i="1"/>
  <c r="M69" i="1"/>
  <c r="Q68" i="1"/>
  <c r="Q67" i="1"/>
  <c r="Q69" i="1"/>
  <c r="U68" i="1"/>
  <c r="U67" i="1"/>
  <c r="U69" i="1"/>
  <c r="Y68" i="1"/>
  <c r="Y67" i="1"/>
  <c r="Y69" i="1"/>
  <c r="AC68" i="1"/>
  <c r="AC67" i="1"/>
  <c r="AC69" i="1"/>
  <c r="AG68" i="1"/>
  <c r="AG67" i="1"/>
  <c r="AG69" i="1"/>
  <c r="AK68" i="1"/>
  <c r="AK67" i="1"/>
  <c r="AK69" i="1"/>
  <c r="C73" i="1"/>
  <c r="C75" i="1"/>
  <c r="C74" i="1"/>
  <c r="G73" i="1"/>
  <c r="G75" i="1"/>
  <c r="G74" i="1"/>
  <c r="K73" i="1"/>
  <c r="K75" i="1"/>
  <c r="K74" i="1"/>
  <c r="O73" i="1"/>
  <c r="O75" i="1"/>
  <c r="O74" i="1"/>
  <c r="S73" i="1"/>
  <c r="S75" i="1"/>
  <c r="S74" i="1"/>
  <c r="W73" i="1"/>
  <c r="W75" i="1"/>
  <c r="W74" i="1"/>
  <c r="AA73" i="1"/>
  <c r="AA75" i="1"/>
  <c r="AA74" i="1"/>
  <c r="AE73" i="1"/>
  <c r="AE75" i="1"/>
  <c r="AE74" i="1"/>
  <c r="AI73" i="1"/>
  <c r="AI75" i="1"/>
  <c r="AI74" i="1"/>
  <c r="AM73" i="1"/>
  <c r="AM75" i="1"/>
  <c r="AM74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I8" i="1" s="1"/>
  <c r="H5" i="1"/>
  <c r="G5" i="1"/>
  <c r="F5" i="1"/>
  <c r="E5" i="1"/>
  <c r="G8" i="1" l="1"/>
  <c r="G7" i="1"/>
  <c r="G9" i="1"/>
  <c r="S7" i="1"/>
  <c r="S8" i="1"/>
  <c r="S9" i="1"/>
  <c r="AA8" i="1"/>
  <c r="AA7" i="1"/>
  <c r="AA9" i="1"/>
  <c r="AM8" i="1"/>
  <c r="AM7" i="1"/>
  <c r="AM9" i="1"/>
  <c r="H7" i="1"/>
  <c r="H8" i="1"/>
  <c r="H9" i="1"/>
  <c r="P7" i="1"/>
  <c r="P8" i="1"/>
  <c r="P9" i="1"/>
  <c r="X7" i="1"/>
  <c r="X8" i="1"/>
  <c r="X9" i="1"/>
  <c r="AJ7" i="1"/>
  <c r="AJ8" i="1"/>
  <c r="AJ9" i="1"/>
  <c r="I9" i="1"/>
  <c r="I7" i="1"/>
  <c r="Q9" i="1"/>
  <c r="Q8" i="1"/>
  <c r="Q7" i="1"/>
  <c r="Y9" i="1"/>
  <c r="Y7" i="1"/>
  <c r="Y8" i="1"/>
  <c r="AK9" i="1"/>
  <c r="AK7" i="1"/>
  <c r="AK8" i="1"/>
  <c r="K8" i="1"/>
  <c r="K7" i="1"/>
  <c r="K9" i="1"/>
  <c r="O8" i="1"/>
  <c r="O7" i="1"/>
  <c r="O9" i="1"/>
  <c r="W8" i="1"/>
  <c r="W7" i="1"/>
  <c r="W9" i="1"/>
  <c r="AE8" i="1"/>
  <c r="AE7" i="1"/>
  <c r="AE9" i="1"/>
  <c r="AI8" i="1"/>
  <c r="AI7" i="1"/>
  <c r="AI9" i="1"/>
  <c r="L8" i="1"/>
  <c r="L7" i="1"/>
  <c r="L9" i="1"/>
  <c r="T7" i="1"/>
  <c r="T8" i="1"/>
  <c r="T9" i="1"/>
  <c r="AB7" i="1"/>
  <c r="AB8" i="1"/>
  <c r="AB9" i="1"/>
  <c r="AF7" i="1"/>
  <c r="AF8" i="1"/>
  <c r="AF9" i="1"/>
  <c r="E9" i="1"/>
  <c r="E7" i="1"/>
  <c r="E8" i="1"/>
  <c r="M9" i="1"/>
  <c r="M7" i="1"/>
  <c r="M8" i="1"/>
  <c r="U9" i="1"/>
  <c r="U7" i="1"/>
  <c r="U8" i="1"/>
  <c r="AC9" i="1"/>
  <c r="AC7" i="1"/>
  <c r="AC8" i="1"/>
  <c r="AG9" i="1"/>
  <c r="AG7" i="1"/>
  <c r="AG8" i="1"/>
  <c r="F9" i="1"/>
  <c r="F8" i="1"/>
  <c r="F7" i="1"/>
  <c r="J9" i="1"/>
  <c r="J8" i="1"/>
  <c r="J7" i="1"/>
  <c r="N9" i="1"/>
  <c r="N8" i="1"/>
  <c r="N7" i="1"/>
  <c r="R9" i="1"/>
  <c r="R8" i="1"/>
  <c r="R7" i="1"/>
  <c r="V9" i="1"/>
  <c r="V8" i="1"/>
  <c r="V7" i="1"/>
  <c r="Z9" i="1"/>
  <c r="Z8" i="1"/>
  <c r="Z7" i="1"/>
  <c r="AD9" i="1"/>
  <c r="AD8" i="1"/>
  <c r="AD7" i="1"/>
  <c r="AH9" i="1"/>
  <c r="AH8" i="1"/>
  <c r="AH7" i="1"/>
  <c r="AL9" i="1"/>
  <c r="AL8" i="1"/>
  <c r="AL7" i="1"/>
  <c r="B5" i="1"/>
</calcChain>
</file>

<file path=xl/sharedStrings.xml><?xml version="1.0" encoding="utf-8"?>
<sst xmlns="http://schemas.openxmlformats.org/spreadsheetml/2006/main" count="493" uniqueCount="36">
  <si>
    <t xml:space="preserve"> </t>
  </si>
  <si>
    <t>Su</t>
  </si>
  <si>
    <t>Mo</t>
  </si>
  <si>
    <t>Tu</t>
  </si>
  <si>
    <t>We</t>
  </si>
  <si>
    <t>Th</t>
  </si>
  <si>
    <t>Fr</t>
  </si>
  <si>
    <t>Sa</t>
  </si>
  <si>
    <t>Job 1</t>
  </si>
  <si>
    <t>Job 2</t>
  </si>
  <si>
    <t>Job 3</t>
  </si>
  <si>
    <t>Shift Pattern</t>
  </si>
  <si>
    <t>Job and Shift Details</t>
  </si>
  <si>
    <t>Job Description</t>
  </si>
  <si>
    <t>Shift 1</t>
  </si>
  <si>
    <t>Shift Name</t>
  </si>
  <si>
    <t>Code</t>
  </si>
  <si>
    <t>Time of Shift</t>
  </si>
  <si>
    <t>Shift 2</t>
  </si>
  <si>
    <t>Shift 3</t>
  </si>
  <si>
    <t>x</t>
  </si>
  <si>
    <t>Day Shift</t>
  </si>
  <si>
    <t>Night Shift</t>
  </si>
  <si>
    <t>D</t>
  </si>
  <si>
    <t>N</t>
  </si>
  <si>
    <t>Pattern Start Date</t>
  </si>
  <si>
    <t xml:space="preserve"> Day Off Code</t>
  </si>
  <si>
    <t>DDDDxxNNNNxxDDDxNNNxxxDDxNNxxx</t>
  </si>
  <si>
    <t>NNNNxxxxxDxxNNNxxDDxxxNNxDDxxx</t>
  </si>
  <si>
    <t>Mid Shift</t>
  </si>
  <si>
    <t>M</t>
  </si>
  <si>
    <t>2:00 PM to 4:00 PM</t>
  </si>
  <si>
    <t>6:00 AM to 10:00 AM</t>
  </si>
  <si>
    <t>10:00 PM to 12:00 AM</t>
  </si>
  <si>
    <t>MMxxxxMMxxxxMMMxxxMxxxxxxMMxxx</t>
  </si>
  <si>
    <r>
      <t xml:space="preserve">SHIFT WORK </t>
    </r>
    <r>
      <rPr>
        <sz val="40"/>
        <color theme="3" tint="-0.499984740745262"/>
        <rFont val="Abadi MT Condensed"/>
        <family val="2"/>
      </rPr>
      <t>Calendar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</si>
</sst>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"/>
    <numFmt numFmtId="165" formatCode="mmmm\ yyyy"/>
    <numFmt numFmtId="166" formatCode="[$-409]mmmm\ d\,\ yyyy;@"/>
    <numFmt numFmtId="167" formatCode=";;;"/>
  </numFmts>
  <fonts count="22" x14ac:knownFonts="1">
    <font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sz val="40"/>
      <color theme="7" tint="-0.499984740745262"/>
      <name val="Abadi MT Condensed"/>
      <family val="2"/>
    </font>
    <font>
      <sz val="40"/>
      <color theme="3" tint="-0.499984740745262"/>
      <name val="Abadi MT Condensed"/>
      <family val="2"/>
    </font>
    <font>
      <b/>
      <sz val="22"/>
      <color theme="0" tint="-0.499984740745262"/>
      <name val="Abadi MT Condensed"/>
      <family val="2"/>
    </font>
    <font>
      <sz val="11"/>
      <color theme="0" tint="-0.499984740745262"/>
      <name val="Abadi MT Condensed"/>
      <family val="2"/>
    </font>
    <font>
      <sz val="42"/>
      <color theme="3" tint="-0.499984740745262"/>
      <name val="Abadi MT Condensed"/>
      <family val="2"/>
    </font>
    <font>
      <sz val="11"/>
      <color theme="1"/>
      <name val="Abadi MT Condensed"/>
      <family val="2"/>
    </font>
    <font>
      <sz val="11"/>
      <color theme="1" tint="0.14999847407452621"/>
      <name val="Abadi MT Condensed"/>
      <family val="2"/>
    </font>
    <font>
      <sz val="14"/>
      <color theme="0"/>
      <name val="Abadi MT Condensed"/>
      <family val="2"/>
    </font>
    <font>
      <sz val="10"/>
      <color theme="0"/>
      <name val="Abadi MT Condensed"/>
      <family val="2"/>
    </font>
    <font>
      <sz val="11"/>
      <color theme="0"/>
      <name val="Abadi MT Condensed"/>
      <family val="2"/>
    </font>
    <font>
      <sz val="28"/>
      <color theme="7" tint="-0.499984740745262"/>
      <name val="Abadi MT Condensed"/>
      <family val="2"/>
    </font>
    <font>
      <sz val="22"/>
      <color theme="7" tint="-0.499984740745262"/>
      <name val="Abadi MT Condensed"/>
      <family val="2"/>
    </font>
    <font>
      <b/>
      <sz val="22"/>
      <color theme="7" tint="-0.499984740745262"/>
      <name val="Abadi MT Condensed"/>
      <family val="2"/>
    </font>
    <font>
      <sz val="14"/>
      <color theme="1"/>
      <name val="Abadi MT Condensed"/>
      <family val="2"/>
    </font>
    <font>
      <sz val="14"/>
      <color theme="1" tint="0.14999847407452621"/>
      <name val="Abadi MT Condensed"/>
      <family val="2"/>
    </font>
    <font>
      <sz val="10"/>
      <color theme="1"/>
      <name val="Abadi MT Condensed"/>
      <family val="2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/>
      </right>
      <top style="thin">
        <color theme="7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7" tint="0.59996337778862885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7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7" tint="0.59996337778862885"/>
      </bottom>
      <diagonal/>
    </border>
    <border>
      <left style="thin">
        <color theme="5" tint="0.59996337778862885"/>
      </left>
      <right style="thin">
        <color theme="0"/>
      </right>
      <top style="thin">
        <color theme="5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5" tint="0.59996337778862885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5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5" tint="0.59996337778862885"/>
      </bottom>
      <diagonal/>
    </border>
    <border>
      <left style="thin">
        <color theme="8" tint="0.79998168889431442"/>
      </left>
      <right style="thin">
        <color theme="0"/>
      </right>
      <top style="thin">
        <color theme="8" tint="0.79998168889431442"/>
      </top>
      <bottom style="thin">
        <color theme="0"/>
      </bottom>
      <diagonal/>
    </border>
    <border>
      <left style="thin">
        <color theme="0"/>
      </left>
      <right/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8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</borders>
  <cellStyleXfs count="8">
    <xf numFmtId="0" fontId="0" fillId="0" borderId="0"/>
    <xf numFmtId="0" fontId="1" fillId="0" borderId="0"/>
    <xf numFmtId="0" fontId="2" fillId="7" borderId="3">
      <alignment horizontal="center" vertical="center"/>
    </xf>
    <xf numFmtId="0" fontId="3" fillId="0" borderId="3" applyNumberFormat="0">
      <alignment horizontal="center" vertical="center"/>
    </xf>
    <xf numFmtId="0" fontId="4" fillId="8" borderId="3">
      <alignment horizontal="center" vertical="center"/>
    </xf>
    <xf numFmtId="0" fontId="2" fillId="2" borderId="3">
      <alignment horizontal="center" vertical="center"/>
    </xf>
    <xf numFmtId="0" fontId="4" fillId="9" borderId="3" applyNumberFormat="0">
      <alignment horizontal="center" vertical="center"/>
    </xf>
    <xf numFmtId="0" fontId="5" fillId="10" borderId="3" applyNumberFormat="0">
      <alignment horizontal="center" vertical="center"/>
    </xf>
  </cellStyleXfs>
  <cellXfs count="66">
    <xf numFmtId="0" fontId="0" fillId="0" borderId="0" xfId="0"/>
    <xf numFmtId="0" fontId="6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wrapText="1"/>
    </xf>
    <xf numFmtId="0" fontId="9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3" borderId="2" xfId="0" applyFont="1" applyFill="1" applyBorder="1"/>
    <xf numFmtId="0" fontId="11" fillId="4" borderId="2" xfId="0" applyFont="1" applyFill="1" applyBorder="1"/>
    <xf numFmtId="0" fontId="11" fillId="5" borderId="2" xfId="0" applyFont="1" applyFill="1" applyBorder="1"/>
    <xf numFmtId="165" fontId="13" fillId="6" borderId="8" xfId="0" applyNumberFormat="1" applyFont="1" applyFill="1" applyBorder="1" applyAlignment="1">
      <alignment horizontal="center" vertical="center"/>
    </xf>
    <xf numFmtId="164" fontId="14" fillId="6" borderId="5" xfId="0" applyNumberFormat="1" applyFont="1" applyFill="1" applyBorder="1" applyAlignment="1">
      <alignment horizontal="center" vertical="center"/>
    </xf>
    <xf numFmtId="164" fontId="14" fillId="6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3" fillId="6" borderId="7" xfId="0" applyNumberFormat="1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7" fontId="12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inden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3" fillId="6" borderId="5" xfId="0" applyFont="1" applyFill="1" applyBorder="1" applyAlignment="1">
      <alignment horizontal="left" vertical="center" indent="1"/>
    </xf>
    <xf numFmtId="0" fontId="1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12" borderId="0" xfId="0" applyFont="1" applyFill="1" applyAlignment="1">
      <alignment horizontal="righ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20" fillId="3" borderId="19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right" vertical="center" indent="1"/>
    </xf>
    <xf numFmtId="0" fontId="11" fillId="0" borderId="12" xfId="0" applyFont="1" applyBorder="1" applyAlignment="1">
      <alignment horizontal="left" vertical="center" indent="1"/>
    </xf>
    <xf numFmtId="0" fontId="20" fillId="3" borderId="21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right" vertical="center" indent="1"/>
    </xf>
    <xf numFmtId="0" fontId="20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right" vertical="center" indent="1"/>
    </xf>
    <xf numFmtId="0" fontId="19" fillId="4" borderId="1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right" vertical="center" indent="1"/>
    </xf>
    <xf numFmtId="0" fontId="11" fillId="0" borderId="13" xfId="0" applyFont="1" applyBorder="1" applyAlignment="1">
      <alignment horizontal="left" vertical="center" indent="1"/>
    </xf>
    <xf numFmtId="0" fontId="19" fillId="4" borderId="16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right" vertical="center" indent="1"/>
    </xf>
    <xf numFmtId="0" fontId="19" fillId="4" borderId="17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right" vertical="center" indent="1"/>
    </xf>
    <xf numFmtId="0" fontId="19" fillId="5" borderId="24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right" vertical="center" indent="1"/>
    </xf>
    <xf numFmtId="0" fontId="11" fillId="0" borderId="29" xfId="0" applyFont="1" applyBorder="1" applyAlignment="1">
      <alignment horizontal="left" vertical="center" indent="1"/>
    </xf>
    <xf numFmtId="0" fontId="19" fillId="5" borderId="26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right" vertical="center" indent="1"/>
    </xf>
    <xf numFmtId="0" fontId="19" fillId="5" borderId="27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right" vertical="center" indent="1"/>
    </xf>
    <xf numFmtId="0" fontId="11" fillId="12" borderId="4" xfId="0" applyFont="1" applyFill="1" applyBorder="1" applyAlignment="1">
      <alignment horizontal="right" vertical="center" indent="1"/>
    </xf>
    <xf numFmtId="0" fontId="11" fillId="12" borderId="30" xfId="0" applyFont="1" applyFill="1" applyBorder="1" applyAlignment="1">
      <alignment horizontal="right" vertical="center" indent="1"/>
    </xf>
    <xf numFmtId="0" fontId="11" fillId="12" borderId="31" xfId="0" applyFont="1" applyFill="1" applyBorder="1" applyAlignment="1">
      <alignment horizontal="right" vertical="center" indent="1"/>
    </xf>
    <xf numFmtId="166" fontId="11" fillId="0" borderId="10" xfId="0" applyNumberFormat="1" applyFont="1" applyBorder="1" applyAlignment="1">
      <alignment horizontal="left" vertical="center" indent="1"/>
    </xf>
    <xf numFmtId="166" fontId="11" fillId="0" borderId="11" xfId="0" applyNumberFormat="1" applyFont="1" applyBorder="1" applyAlignment="1">
      <alignment horizontal="left" vertical="center" indent="1"/>
    </xf>
    <xf numFmtId="0" fontId="11" fillId="12" borderId="32" xfId="0" applyFont="1" applyFill="1" applyBorder="1" applyAlignment="1">
      <alignment horizontal="right" vertical="center" indent="1"/>
    </xf>
    <xf numFmtId="0" fontId="11" fillId="12" borderId="33" xfId="0" applyFont="1" applyFill="1" applyBorder="1" applyAlignment="1">
      <alignment horizontal="right" vertical="center" indent="1"/>
    </xf>
  </cellXfs>
  <cellStyles count="8">
    <cellStyle name="Day Off" xfId="3"/>
    <cellStyle name="Day Shift" xfId="2"/>
    <cellStyle name="Day/Night Shift" xfId="5"/>
    <cellStyle name="Holidays" xfId="6"/>
    <cellStyle name="Night Shift" xfId="4"/>
    <cellStyle name="Non Working" xfId="7"/>
    <cellStyle name="Normal" xfId="0" builtinId="0"/>
    <cellStyle name="Normal 2" xfId="1"/>
  </cellStyles>
  <dxfs count="6"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314325</xdr:rowOff>
        </xdr:from>
        <xdr:to>
          <xdr:col>33</xdr:col>
          <xdr:colOff>209550</xdr:colOff>
          <xdr:row>0</xdr:row>
          <xdr:rowOff>619125</xdr:rowOff>
        </xdr:to>
        <xdr:sp macro="" textlink="">
          <xdr:nvSpPr>
            <xdr:cNvPr id="1025" name="Spinner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Shift Work 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N75"/>
  <sheetViews>
    <sheetView showGridLines="0" showRowColHeaders="0" zoomScale="55" zoomScaleNormal="55" workbookViewId="0">
      <selection activeCell="AN1" sqref="A1:XFD1048576"/>
    </sheetView>
  </sheetViews>
  <sheetFormatPr defaultColWidth="0" defaultRowHeight="18.95" customHeight="1" x14ac:dyDescent="0.3"/>
  <cols>
    <col min="1" max="1" width="1.77734375" style="9" customWidth="1"/>
    <col min="2" max="2" width="21.77734375" style="9" customWidth="1"/>
    <col min="3" max="39" width="3.33203125" style="9" customWidth="1"/>
    <col min="40" max="40" width="1.77734375" style="9" customWidth="1"/>
    <col min="41" max="16384" width="8.88671875" style="9" hidden="1"/>
  </cols>
  <sheetData>
    <row r="1" spans="2:39" s="6" customFormat="1" ht="65.25" customHeight="1" x14ac:dyDescent="0.85">
      <c r="B1" s="1" t="s">
        <v>35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>
        <v>2020</v>
      </c>
      <c r="AI1" s="5"/>
      <c r="AJ1" s="5"/>
      <c r="AK1" s="5"/>
      <c r="AL1" s="5"/>
      <c r="AM1" s="5"/>
    </row>
    <row r="2" spans="2:39" s="7" customFormat="1" ht="9" customHeight="1" x14ac:dyDescent="0.25"/>
    <row r="3" spans="2:39" s="7" customFormat="1" ht="18.95" customHeight="1" x14ac:dyDescent="0.25">
      <c r="AC3" s="8" t="s">
        <v>14</v>
      </c>
      <c r="AD3" s="9"/>
      <c r="AE3" s="10"/>
      <c r="AF3" s="9"/>
      <c r="AG3" s="8" t="s">
        <v>18</v>
      </c>
      <c r="AH3" s="9"/>
      <c r="AI3" s="11"/>
      <c r="AJ3" s="9"/>
      <c r="AK3" s="8" t="s">
        <v>19</v>
      </c>
      <c r="AL3" s="9"/>
      <c r="AM3" s="12"/>
    </row>
    <row r="4" spans="2:39" s="7" customFormat="1" ht="9" customHeight="1" x14ac:dyDescent="0.25"/>
    <row r="5" spans="2:39" s="16" customFormat="1" ht="18.95" customHeight="1" x14ac:dyDescent="0.3">
      <c r="B5" s="13">
        <f>DATE(CalendarYear,1,1)</f>
        <v>43831</v>
      </c>
      <c r="C5" s="14" t="str">
        <f>IF(DAY(JanSun1)=1,"",IF(AND(YEAR(JanSun1+1)=CalendarYear,MONTH(JanSun1+1)=1),JanSun1+1,""))</f>
        <v/>
      </c>
      <c r="D5" s="14" t="str">
        <f>IF(DAY(JanSun1)=1,"",IF(AND(YEAR(JanSun1+2)=CalendarYear,MONTH(JanSun1+2)=1),JanSun1+2,""))</f>
        <v/>
      </c>
      <c r="E5" s="14" t="str">
        <f>IF(DAY(JanSun1)=1,"",IF(AND(YEAR(JanSun1+3)=CalendarYear,MONTH(JanSun1+3)=1),JanSun1+3,""))</f>
        <v/>
      </c>
      <c r="F5" s="14">
        <f>IF(DAY(JanSun1)=1,"",IF(AND(YEAR(JanSun1+4)=CalendarYear,MONTH(JanSun1+4)=1),JanSun1+4,""))</f>
        <v>43831</v>
      </c>
      <c r="G5" s="14">
        <f>IF(DAY(JanSun1)=1,"",IF(AND(YEAR(JanSun1+5)=CalendarYear,MONTH(JanSun1+5)=1),JanSun1+5,""))</f>
        <v>43832</v>
      </c>
      <c r="H5" s="14">
        <f>IF(DAY(JanSun1)=1,"",IF(AND(YEAR(JanSun1+6)=CalendarYear,MONTH(JanSun1+6)=1),JanSun1+6,""))</f>
        <v>43833</v>
      </c>
      <c r="I5" s="14">
        <f>IF(DAY(JanSun1)=1,IF(AND(YEAR(JanSun1)=CalendarYear,MONTH(JanSun1)=1),JanSun1,""),IF(AND(YEAR(JanSun1+7)=CalendarYear,MONTH(JanSun1+7)=1),JanSun1+7,""))</f>
        <v>43834</v>
      </c>
      <c r="J5" s="14">
        <f>IF(DAY(JanSun1)=1,IF(AND(YEAR(JanSun1+1)=CalendarYear,MONTH(JanSun1+1)=1),JanSun1+1,""),IF(AND(YEAR(JanSun1+8)=CalendarYear,MONTH(JanSun1+8)=1),JanSun1+8,""))</f>
        <v>43835</v>
      </c>
      <c r="K5" s="14">
        <f>IF(DAY(JanSun1)=1,IF(AND(YEAR(JanSun1+2)=CalendarYear,MONTH(JanSun1+2)=1),JanSun1+2,""),IF(AND(YEAR(JanSun1+9)=CalendarYear,MONTH(JanSun1+9)=1),JanSun1+9,""))</f>
        <v>43836</v>
      </c>
      <c r="L5" s="14">
        <f>IF(DAY(JanSun1)=1,IF(AND(YEAR(JanSun1+3)=CalendarYear,MONTH(JanSun1+3)=1),JanSun1+3,""),IF(AND(YEAR(JanSun1+10)=CalendarYear,MONTH(JanSun1+10)=1),JanSun1+10,""))</f>
        <v>43837</v>
      </c>
      <c r="M5" s="14">
        <f>IF(DAY(JanSun1)=1,IF(AND(YEAR(JanSun1+4)=CalendarYear,MONTH(JanSun1+4)=1),JanSun1+4,""),IF(AND(YEAR(JanSun1+11)=CalendarYear,MONTH(JanSun1+11)=1),JanSun1+11,""))</f>
        <v>43838</v>
      </c>
      <c r="N5" s="14">
        <f>IF(DAY(JanSun1)=1,IF(AND(YEAR(JanSun1+5)=CalendarYear,MONTH(JanSun1+5)=1),JanSun1+5,""),IF(AND(YEAR(JanSun1+12)=CalendarYear,MONTH(JanSun1+12)=1),JanSun1+12,""))</f>
        <v>43839</v>
      </c>
      <c r="O5" s="14">
        <f>IF(DAY(JanSun1)=1,IF(AND(YEAR(JanSun1+6)=CalendarYear,MONTH(JanSun1+6)=1),JanSun1+6,""),IF(AND(YEAR(JanSun1+13)=CalendarYear,MONTH(JanSun1+13)=1),JanSun1+13,""))</f>
        <v>43840</v>
      </c>
      <c r="P5" s="14">
        <f>IF(DAY(JanSun1)=1,IF(AND(YEAR(JanSun1+7)=CalendarYear,MONTH(JanSun1+7)=1),JanSun1+7,""),IF(AND(YEAR(JanSun1+14)=CalendarYear,MONTH(JanSun1+14)=1),JanSun1+14,""))</f>
        <v>43841</v>
      </c>
      <c r="Q5" s="14">
        <f>IF(DAY(JanSun1)=1,IF(AND(YEAR(JanSun1+8)=CalendarYear,MONTH(JanSun1+8)=1),JanSun1+8,""),IF(AND(YEAR(JanSun1+15)=CalendarYear,MONTH(JanSun1+15)=1),JanSun1+15,""))</f>
        <v>43842</v>
      </c>
      <c r="R5" s="14">
        <f>IF(DAY(JanSun1)=1,IF(AND(YEAR(JanSun1+9)=CalendarYear,MONTH(JanSun1+9)=1),JanSun1+9,""),IF(AND(YEAR(JanSun1+16)=CalendarYear,MONTH(JanSun1+16)=1),JanSun1+16,""))</f>
        <v>43843</v>
      </c>
      <c r="S5" s="14">
        <f>IF(DAY(JanSun1)=1,IF(AND(YEAR(JanSun1+10)=CalendarYear,MONTH(JanSun1+10)=1),JanSun1+10,""),IF(AND(YEAR(JanSun1+17)=CalendarYear,MONTH(JanSun1+17)=1),JanSun1+17,""))</f>
        <v>43844</v>
      </c>
      <c r="T5" s="14">
        <f>IF(DAY(JanSun1)=1,IF(AND(YEAR(JanSun1+11)=CalendarYear,MONTH(JanSun1+11)=1),JanSun1+11,""),IF(AND(YEAR(JanSun1+18)=CalendarYear,MONTH(JanSun1+18)=1),JanSun1+18,""))</f>
        <v>43845</v>
      </c>
      <c r="U5" s="14">
        <f>IF(DAY(JanSun1)=1,IF(AND(YEAR(JanSun1+12)=CalendarYear,MONTH(JanSun1+12)=1),JanSun1+12,""),IF(AND(YEAR(JanSun1+19)=CalendarYear,MONTH(JanSun1+19)=1),JanSun1+19,""))</f>
        <v>43846</v>
      </c>
      <c r="V5" s="14">
        <f>IF(DAY(JanSun1)=1,IF(AND(YEAR(JanSun1+13)=CalendarYear,MONTH(JanSun1+13)=1),JanSun1+13,""),IF(AND(YEAR(JanSun1+20)=CalendarYear,MONTH(JanSun1+20)=1),JanSun1+20,""))</f>
        <v>43847</v>
      </c>
      <c r="W5" s="14">
        <f>IF(DAY(JanSun1)=1,IF(AND(YEAR(JanSun1+14)=CalendarYear,MONTH(JanSun1+14)=1),JanSun1+14,""),IF(AND(YEAR(JanSun1+21)=CalendarYear,MONTH(JanSun1+21)=1),JanSun1+21,""))</f>
        <v>43848</v>
      </c>
      <c r="X5" s="14">
        <f>IF(DAY(JanSun1)=1,IF(AND(YEAR(JanSun1+15)=CalendarYear,MONTH(JanSun1+15)=1),JanSun1+15,""),IF(AND(YEAR(JanSun1+22)=CalendarYear,MONTH(JanSun1+22)=1),JanSun1+22,""))</f>
        <v>43849</v>
      </c>
      <c r="Y5" s="14">
        <f>IF(DAY(JanSun1)=1,IF(AND(YEAR(JanSun1+16)=CalendarYear,MONTH(JanSun1+16)=1),JanSun1+16,""),IF(AND(YEAR(JanSun1+23)=CalendarYear,MONTH(JanSun1+23)=1),JanSun1+23,""))</f>
        <v>43850</v>
      </c>
      <c r="Z5" s="14">
        <f>IF(DAY(JanSun1)=1,IF(AND(YEAR(JanSun1+17)=CalendarYear,MONTH(JanSun1+17)=1),JanSun1+17,""),IF(AND(YEAR(JanSun1+24)=CalendarYear,MONTH(JanSun1+24)=1),JanSun1+24,""))</f>
        <v>43851</v>
      </c>
      <c r="AA5" s="14">
        <f>IF(DAY(JanSun1)=1,IF(AND(YEAR(JanSun1+18)=CalendarYear,MONTH(JanSun1+18)=1),JanSun1+18,""),IF(AND(YEAR(JanSun1+25)=CalendarYear,MONTH(JanSun1+25)=1),JanSun1+25,""))</f>
        <v>43852</v>
      </c>
      <c r="AB5" s="14">
        <f>IF(DAY(JanSun1)=1,IF(AND(YEAR(JanSun1+19)=CalendarYear,MONTH(JanSun1+19)=1),JanSun1+19,""),IF(AND(YEAR(JanSun1+26)=CalendarYear,MONTH(JanSun1+26)=1),JanSun1+26,""))</f>
        <v>43853</v>
      </c>
      <c r="AC5" s="14">
        <f>IF(DAY(JanSun1)=1,IF(AND(YEAR(JanSun1+20)=CalendarYear,MONTH(JanSun1+20)=1),JanSun1+20,""),IF(AND(YEAR(JanSun1+27)=CalendarYear,MONTH(JanSun1+27)=1),JanSun1+27,""))</f>
        <v>43854</v>
      </c>
      <c r="AD5" s="14">
        <f>IF(DAY(JanSun1)=1,IF(AND(YEAR(JanSun1+21)=CalendarYear,MONTH(JanSun1+21)=1),JanSun1+21,""),IF(AND(YEAR(JanSun1+28)=CalendarYear,MONTH(JanSun1+28)=1),JanSun1+28,""))</f>
        <v>43855</v>
      </c>
      <c r="AE5" s="14">
        <f>IF(DAY(JanSun1)=1,IF(AND(YEAR(JanSun1+22)=CalendarYear,MONTH(JanSun1+22)=1),JanSun1+22,""),IF(AND(YEAR(JanSun1+29)=CalendarYear,MONTH(JanSun1+29)=1),JanSun1+29,""))</f>
        <v>43856</v>
      </c>
      <c r="AF5" s="14">
        <f>IF(DAY(JanSun1)=1,IF(AND(YEAR(JanSun1+23)=CalendarYear,MONTH(JanSun1+23)=1),JanSun1+23,""),IF(AND(YEAR(JanSun1+30)=CalendarYear,MONTH(JanSun1+30)=1),JanSun1+30,""))</f>
        <v>43857</v>
      </c>
      <c r="AG5" s="14">
        <f>IF(DAY(JanSun1)=1,IF(AND(YEAR(JanSun1+24)=CalendarYear,MONTH(JanSun1+24)=1),JanSun1+24,""),IF(AND(YEAR(JanSun1+31)=CalendarYear,MONTH(JanSun1+31)=1),JanSun1+31,""))</f>
        <v>43858</v>
      </c>
      <c r="AH5" s="14">
        <f>IF(DAY(JanSun1)=1,IF(AND(YEAR(JanSun1+25)=CalendarYear,MONTH(JanSun1+25)=1),JanSun1+25,""),IF(AND(YEAR(JanSun1+32)=CalendarYear,MONTH(JanSun1+32)=1),JanSun1+32,""))</f>
        <v>43859</v>
      </c>
      <c r="AI5" s="14">
        <f>IF(DAY(JanSun1)=1,IF(AND(YEAR(JanSun1+26)=CalendarYear,MONTH(JanSun1+26)=1),JanSun1+26,""),IF(AND(YEAR(JanSun1+33)=CalendarYear,MONTH(JanSun1+33)=1),JanSun1+33,""))</f>
        <v>43860</v>
      </c>
      <c r="AJ5" s="14">
        <f>IF(DAY(JanSun1)=1,IF(AND(YEAR(JanSun1+27)=CalendarYear,MONTH(JanSun1+27)=1),JanSun1+27,""),IF(AND(YEAR(JanSun1+34)=CalendarYear,MONTH(JanSun1+34)=1),JanSun1+34,""))</f>
        <v>43861</v>
      </c>
      <c r="AK5" s="14" t="str">
        <f>IF(DAY(JanSun1)=1,IF(AND(YEAR(JanSun1+28)=CalendarYear,MONTH(JanSun1+28)=1),JanSun1+28,""),IF(AND(YEAR(JanSun1+35)=CalendarYear,MONTH(JanSun1+35)=1),JanSun1+35,""))</f>
        <v/>
      </c>
      <c r="AL5" s="14" t="str">
        <f>IF(DAY(JanSun1)=1,IF(AND(YEAR(JanSun1+29)=CalendarYear,MONTH(JanSun1+29)=1),JanSun1+29,""),IF(AND(YEAR(JanSun1+36)=CalendarYear,MONTH(JanSun1+36)=1),JanSun1+36,""))</f>
        <v/>
      </c>
      <c r="AM5" s="15" t="str">
        <f>IF(DAY(JanSun1)=1,IF(AND(YEAR(JanSun1+30)=CalendarYear,MONTH(JanSun1+30)=1),JanSun1+30,""),IF(AND(YEAR(JanSun1+37)=CalendarYear,MONTH(JanSun1+37)=1),JanSun1+37,""))</f>
        <v/>
      </c>
    </row>
    <row r="6" spans="2:39" s="16" customFormat="1" ht="18.95" customHeight="1" x14ac:dyDescent="0.3">
      <c r="B6" s="17"/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1</v>
      </c>
      <c r="K6" s="18" t="s">
        <v>2</v>
      </c>
      <c r="L6" s="18" t="s">
        <v>3</v>
      </c>
      <c r="M6" s="18" t="s">
        <v>4</v>
      </c>
      <c r="N6" s="18" t="s">
        <v>5</v>
      </c>
      <c r="O6" s="18" t="s">
        <v>6</v>
      </c>
      <c r="P6" s="18" t="s">
        <v>7</v>
      </c>
      <c r="Q6" s="18" t="s">
        <v>1</v>
      </c>
      <c r="R6" s="18" t="s">
        <v>2</v>
      </c>
      <c r="S6" s="18" t="s">
        <v>3</v>
      </c>
      <c r="T6" s="18" t="s">
        <v>4</v>
      </c>
      <c r="U6" s="18" t="s">
        <v>5</v>
      </c>
      <c r="V6" s="18" t="s">
        <v>6</v>
      </c>
      <c r="W6" s="18" t="s">
        <v>7</v>
      </c>
      <c r="X6" s="18" t="s">
        <v>1</v>
      </c>
      <c r="Y6" s="18" t="s">
        <v>2</v>
      </c>
      <c r="Z6" s="18" t="s">
        <v>3</v>
      </c>
      <c r="AA6" s="18" t="s">
        <v>4</v>
      </c>
      <c r="AB6" s="18" t="s">
        <v>5</v>
      </c>
      <c r="AC6" s="18" t="s">
        <v>6</v>
      </c>
      <c r="AD6" s="18" t="s">
        <v>7</v>
      </c>
      <c r="AE6" s="18" t="s">
        <v>1</v>
      </c>
      <c r="AF6" s="18" t="s">
        <v>2</v>
      </c>
      <c r="AG6" s="18" t="s">
        <v>3</v>
      </c>
      <c r="AH6" s="18" t="s">
        <v>4</v>
      </c>
      <c r="AI6" s="18" t="s">
        <v>5</v>
      </c>
      <c r="AJ6" s="18" t="s">
        <v>6</v>
      </c>
      <c r="AK6" s="18" t="s">
        <v>7</v>
      </c>
      <c r="AL6" s="18" t="s">
        <v>1</v>
      </c>
      <c r="AM6" s="19" t="s">
        <v>2</v>
      </c>
    </row>
    <row r="7" spans="2:39" ht="18.95" customHeight="1" x14ac:dyDescent="0.3">
      <c r="B7" s="20" t="str">
        <f>IF(Job1_Name="","",Job1_Name)</f>
        <v>Job 1</v>
      </c>
      <c r="C7" s="21" t="str">
        <f t="shared" ref="C7:AM7" si="0">IF(OR(NOT(ISNUMBER(C5)),C5&lt;Job1_StartDate),"",IF(MID(Job1_Pattern,MOD(C5-Job1_StartDate,LEN(Job1_Pattern))+1,1)=Job1_Shift1_Code,1,IF(MID(Job1_Pattern,MOD(C5-Job1_StartDate,LEN(Job1_Pattern))+1,1)=Job1_Shift2_Code,2,IF(MID(Job1_Pattern,MOD(C5-Job1_StartDate,LEN(Job1_Pattern))+1,1)=Job1_Shift3_Code,3,""))))</f>
        <v/>
      </c>
      <c r="D7" s="21" t="str">
        <f t="shared" si="0"/>
        <v/>
      </c>
      <c r="E7" s="21" t="str">
        <f t="shared" si="0"/>
        <v/>
      </c>
      <c r="F7" s="21" t="str">
        <f t="shared" si="0"/>
        <v/>
      </c>
      <c r="G7" s="21" t="str">
        <f t="shared" si="0"/>
        <v/>
      </c>
      <c r="H7" s="21" t="str">
        <f t="shared" si="0"/>
        <v/>
      </c>
      <c r="I7" s="21" t="str">
        <f t="shared" si="0"/>
        <v/>
      </c>
      <c r="J7" s="21">
        <f t="shared" si="0"/>
        <v>1</v>
      </c>
      <c r="K7" s="21">
        <f t="shared" si="0"/>
        <v>1</v>
      </c>
      <c r="L7" s="21">
        <f t="shared" si="0"/>
        <v>1</v>
      </c>
      <c r="M7" s="21">
        <f t="shared" si="0"/>
        <v>1</v>
      </c>
      <c r="N7" s="21" t="str">
        <f t="shared" si="0"/>
        <v/>
      </c>
      <c r="O7" s="21" t="str">
        <f t="shared" si="0"/>
        <v/>
      </c>
      <c r="P7" s="21">
        <f t="shared" si="0"/>
        <v>2</v>
      </c>
      <c r="Q7" s="21">
        <f t="shared" si="0"/>
        <v>2</v>
      </c>
      <c r="R7" s="21">
        <f t="shared" si="0"/>
        <v>2</v>
      </c>
      <c r="S7" s="21">
        <f t="shared" si="0"/>
        <v>2</v>
      </c>
      <c r="T7" s="21" t="str">
        <f t="shared" si="0"/>
        <v/>
      </c>
      <c r="U7" s="21" t="str">
        <f t="shared" si="0"/>
        <v/>
      </c>
      <c r="V7" s="21">
        <f t="shared" si="0"/>
        <v>1</v>
      </c>
      <c r="W7" s="21">
        <f t="shared" si="0"/>
        <v>1</v>
      </c>
      <c r="X7" s="21">
        <f t="shared" si="0"/>
        <v>1</v>
      </c>
      <c r="Y7" s="21" t="str">
        <f t="shared" si="0"/>
        <v/>
      </c>
      <c r="Z7" s="21">
        <f t="shared" si="0"/>
        <v>2</v>
      </c>
      <c r="AA7" s="21">
        <f t="shared" si="0"/>
        <v>2</v>
      </c>
      <c r="AB7" s="21">
        <f t="shared" si="0"/>
        <v>2</v>
      </c>
      <c r="AC7" s="21" t="str">
        <f t="shared" si="0"/>
        <v/>
      </c>
      <c r="AD7" s="21" t="str">
        <f t="shared" si="0"/>
        <v/>
      </c>
      <c r="AE7" s="21" t="str">
        <f t="shared" si="0"/>
        <v/>
      </c>
      <c r="AF7" s="21">
        <f t="shared" si="0"/>
        <v>1</v>
      </c>
      <c r="AG7" s="21">
        <f t="shared" si="0"/>
        <v>1</v>
      </c>
      <c r="AH7" s="21" t="str">
        <f t="shared" si="0"/>
        <v/>
      </c>
      <c r="AI7" s="21">
        <f t="shared" si="0"/>
        <v>2</v>
      </c>
      <c r="AJ7" s="21">
        <f t="shared" si="0"/>
        <v>2</v>
      </c>
      <c r="AK7" s="21" t="str">
        <f t="shared" si="0"/>
        <v/>
      </c>
      <c r="AL7" s="21" t="str">
        <f t="shared" si="0"/>
        <v/>
      </c>
      <c r="AM7" s="21" t="str">
        <f t="shared" si="0"/>
        <v/>
      </c>
    </row>
    <row r="8" spans="2:39" ht="18.95" customHeight="1" x14ac:dyDescent="0.3">
      <c r="B8" s="22" t="str">
        <f>IF(Job2_Name="","",Job2_Name)</f>
        <v>Job 2</v>
      </c>
      <c r="C8" s="23" t="str">
        <f t="shared" ref="C8:AM8" si="1">IF(OR(NOT(ISNUMBER(C5)),C5&lt;Job2_StartDate),"",IF(MID(Job2_Pattern,MOD(C5-Job2_StartDate,LEN(Job2_Pattern))+1,1)=Job2_Shift1_Code,1,IF(MID(Job2_Pattern,MOD(C5-Job2_StartDate,LEN(Job2_Pattern))+1,1)=Job2_Shift2_Code,2,IF(MID(Job2_Pattern,MOD(C5-Job2_StartDate,LEN(Job2_Pattern))+1,1)=Job2_Shift3_Code,3,""))))</f>
        <v/>
      </c>
      <c r="D8" s="23" t="str">
        <f t="shared" si="1"/>
        <v/>
      </c>
      <c r="E8" s="23" t="str">
        <f t="shared" si="1"/>
        <v/>
      </c>
      <c r="F8" s="23" t="str">
        <f t="shared" si="1"/>
        <v/>
      </c>
      <c r="G8" s="23" t="str">
        <f t="shared" si="1"/>
        <v/>
      </c>
      <c r="H8" s="23" t="str">
        <f t="shared" si="1"/>
        <v/>
      </c>
      <c r="I8" s="23" t="str">
        <f t="shared" si="1"/>
        <v/>
      </c>
      <c r="J8" s="23" t="str">
        <f t="shared" si="1"/>
        <v/>
      </c>
      <c r="K8" s="23" t="str">
        <f t="shared" si="1"/>
        <v/>
      </c>
      <c r="L8" s="23" t="str">
        <f t="shared" si="1"/>
        <v/>
      </c>
      <c r="M8" s="23" t="str">
        <f t="shared" si="1"/>
        <v/>
      </c>
      <c r="N8" s="23" t="str">
        <f t="shared" si="1"/>
        <v/>
      </c>
      <c r="O8" s="23" t="str">
        <f t="shared" si="1"/>
        <v/>
      </c>
      <c r="P8" s="23" t="str">
        <f t="shared" si="1"/>
        <v/>
      </c>
      <c r="Q8" s="23" t="str">
        <f t="shared" si="1"/>
        <v/>
      </c>
      <c r="R8" s="23" t="str">
        <f t="shared" si="1"/>
        <v/>
      </c>
      <c r="S8" s="23" t="str">
        <f t="shared" si="1"/>
        <v/>
      </c>
      <c r="T8" s="23">
        <f t="shared" si="1"/>
        <v>2</v>
      </c>
      <c r="U8" s="23">
        <f t="shared" si="1"/>
        <v>2</v>
      </c>
      <c r="V8" s="23">
        <f t="shared" si="1"/>
        <v>2</v>
      </c>
      <c r="W8" s="23">
        <f t="shared" si="1"/>
        <v>2</v>
      </c>
      <c r="X8" s="23" t="str">
        <f t="shared" si="1"/>
        <v/>
      </c>
      <c r="Y8" s="23" t="str">
        <f t="shared" si="1"/>
        <v/>
      </c>
      <c r="Z8" s="23" t="str">
        <f t="shared" si="1"/>
        <v/>
      </c>
      <c r="AA8" s="23" t="str">
        <f t="shared" si="1"/>
        <v/>
      </c>
      <c r="AB8" s="23" t="str">
        <f t="shared" si="1"/>
        <v/>
      </c>
      <c r="AC8" s="23">
        <f t="shared" si="1"/>
        <v>1</v>
      </c>
      <c r="AD8" s="23" t="str">
        <f t="shared" si="1"/>
        <v/>
      </c>
      <c r="AE8" s="23" t="str">
        <f t="shared" si="1"/>
        <v/>
      </c>
      <c r="AF8" s="23">
        <f t="shared" si="1"/>
        <v>2</v>
      </c>
      <c r="AG8" s="23">
        <f t="shared" si="1"/>
        <v>2</v>
      </c>
      <c r="AH8" s="23">
        <f t="shared" si="1"/>
        <v>2</v>
      </c>
      <c r="AI8" s="23" t="str">
        <f t="shared" si="1"/>
        <v/>
      </c>
      <c r="AJ8" s="23" t="str">
        <f t="shared" si="1"/>
        <v/>
      </c>
      <c r="AK8" s="23" t="str">
        <f t="shared" si="1"/>
        <v/>
      </c>
      <c r="AL8" s="23" t="str">
        <f t="shared" si="1"/>
        <v/>
      </c>
      <c r="AM8" s="23" t="str">
        <f t="shared" si="1"/>
        <v/>
      </c>
    </row>
    <row r="9" spans="2:39" ht="18.95" customHeight="1" x14ac:dyDescent="0.3">
      <c r="B9" s="22" t="str">
        <f>IF(Job3_Name="","",Job3_Name)</f>
        <v>Job 3</v>
      </c>
      <c r="C9" s="23" t="str">
        <f t="shared" ref="C9:AM9" si="2">IF(OR(NOT(ISNUMBER(C5)),C5&lt;Job3_StartDate),"",IF(MID(Job3_Pattern,MOD(C5-Job3_StartDate,LEN(Job3_Pattern))+1,1)=Job3_Shift1_Code,1,IF(MID(Job3_Pattern,MOD(C5-Job3_StartDate,LEN(Job3_Pattern))+1,1)=Job3_Shift2_Code,2,IF(MID(Job3_Pattern,MOD(C5-Job3_StartDate,LEN(Job3_Pattern))+1,1)=Job3_Shift3_Code,3,""))))</f>
        <v/>
      </c>
      <c r="D9" s="23" t="str">
        <f t="shared" si="2"/>
        <v/>
      </c>
      <c r="E9" s="23" t="str">
        <f t="shared" si="2"/>
        <v/>
      </c>
      <c r="F9" s="23" t="str">
        <f t="shared" si="2"/>
        <v/>
      </c>
      <c r="G9" s="23" t="str">
        <f t="shared" si="2"/>
        <v/>
      </c>
      <c r="H9" s="23" t="str">
        <f t="shared" si="2"/>
        <v/>
      </c>
      <c r="I9" s="23" t="str">
        <f t="shared" si="2"/>
        <v/>
      </c>
      <c r="J9" s="23" t="str">
        <f t="shared" si="2"/>
        <v/>
      </c>
      <c r="K9" s="23" t="str">
        <f t="shared" si="2"/>
        <v/>
      </c>
      <c r="L9" s="23" t="str">
        <f t="shared" si="2"/>
        <v/>
      </c>
      <c r="M9" s="23" t="str">
        <f t="shared" si="2"/>
        <v/>
      </c>
      <c r="N9" s="23" t="str">
        <f t="shared" si="2"/>
        <v/>
      </c>
      <c r="O9" s="23" t="str">
        <f t="shared" si="2"/>
        <v/>
      </c>
      <c r="P9" s="23" t="str">
        <f t="shared" si="2"/>
        <v/>
      </c>
      <c r="Q9" s="23" t="str">
        <f t="shared" si="2"/>
        <v/>
      </c>
      <c r="R9" s="23" t="str">
        <f t="shared" si="2"/>
        <v/>
      </c>
      <c r="S9" s="23" t="str">
        <f t="shared" si="2"/>
        <v/>
      </c>
      <c r="T9" s="23" t="str">
        <f t="shared" si="2"/>
        <v/>
      </c>
      <c r="U9" s="23" t="str">
        <f t="shared" si="2"/>
        <v/>
      </c>
      <c r="V9" s="23" t="str">
        <f t="shared" si="2"/>
        <v/>
      </c>
      <c r="W9" s="23" t="str">
        <f t="shared" si="2"/>
        <v/>
      </c>
      <c r="X9" s="23">
        <f t="shared" si="2"/>
        <v>3</v>
      </c>
      <c r="Y9" s="23">
        <f t="shared" si="2"/>
        <v>3</v>
      </c>
      <c r="Z9" s="23" t="str">
        <f t="shared" si="2"/>
        <v/>
      </c>
      <c r="AA9" s="23" t="str">
        <f t="shared" si="2"/>
        <v/>
      </c>
      <c r="AB9" s="23" t="str">
        <f t="shared" si="2"/>
        <v/>
      </c>
      <c r="AC9" s="23" t="str">
        <f t="shared" si="2"/>
        <v/>
      </c>
      <c r="AD9" s="23">
        <f t="shared" si="2"/>
        <v>3</v>
      </c>
      <c r="AE9" s="23">
        <f t="shared" si="2"/>
        <v>3</v>
      </c>
      <c r="AF9" s="23" t="str">
        <f t="shared" si="2"/>
        <v/>
      </c>
      <c r="AG9" s="23" t="str">
        <f t="shared" si="2"/>
        <v/>
      </c>
      <c r="AH9" s="23" t="str">
        <f t="shared" si="2"/>
        <v/>
      </c>
      <c r="AI9" s="23" t="str">
        <f t="shared" si="2"/>
        <v/>
      </c>
      <c r="AJ9" s="23">
        <f t="shared" si="2"/>
        <v>3</v>
      </c>
      <c r="AK9" s="23" t="str">
        <f t="shared" si="2"/>
        <v/>
      </c>
      <c r="AL9" s="23" t="str">
        <f t="shared" si="2"/>
        <v/>
      </c>
      <c r="AM9" s="23" t="str">
        <f t="shared" si="2"/>
        <v/>
      </c>
    </row>
    <row r="10" spans="2:39" ht="12" customHeight="1" x14ac:dyDescent="0.3"/>
    <row r="11" spans="2:39" s="24" customFormat="1" ht="18.95" customHeight="1" x14ac:dyDescent="0.3">
      <c r="B11" s="13">
        <f>DATE(CalendarYear,2,1)</f>
        <v>43862</v>
      </c>
      <c r="C11" s="14" t="str">
        <f>IF(DAY(FebSun1)=1,"",IF(AND(YEAR(FebSun1+1)=CalendarYear,MONTH(FebSun1+1)=2),FebSun1+1,""))</f>
        <v/>
      </c>
      <c r="D11" s="14" t="str">
        <f>IF(DAY(FebSun1)=1,"",IF(AND(YEAR(FebSun1+2)=CalendarYear,MONTH(FebSun1+2)=2),FebSun1+2,""))</f>
        <v/>
      </c>
      <c r="E11" s="14" t="str">
        <f>IF(DAY(FebSun1)=1,"",IF(AND(YEAR(FebSun1+3)=CalendarYear,MONTH(FebSun1+3)=2),FebSun1+3,""))</f>
        <v/>
      </c>
      <c r="F11" s="14" t="str">
        <f>IF(DAY(FebSun1)=1,"",IF(AND(YEAR(FebSun1+4)=CalendarYear,MONTH(FebSun1+4)=2),FebSun1+4,""))</f>
        <v/>
      </c>
      <c r="G11" s="14" t="str">
        <f>IF(DAY(FebSun1)=1,"",IF(AND(YEAR(FebSun1+5)=CalendarYear,MONTH(FebSun1+5)=2),FebSun1+5,""))</f>
        <v/>
      </c>
      <c r="H11" s="14" t="str">
        <f>IF(DAY(FebSun1)=1,"",IF(AND(YEAR(FebSun1+6)=CalendarYear,MONTH(FebSun1+6)=2),FebSun1+6,""))</f>
        <v/>
      </c>
      <c r="I11" s="14">
        <f>IF(DAY(FebSun1)=1,IF(AND(YEAR(FebSun1)=CalendarYear,MONTH(FebSun1)=2),FebSun1,""),IF(AND(YEAR(FebSun1+7)=CalendarYear,MONTH(FebSun1+7)=2),FebSun1+7,""))</f>
        <v>43862</v>
      </c>
      <c r="J11" s="14">
        <f>IF(DAY(FebSun1)=1,IF(AND(YEAR(FebSun1+1)=CalendarYear,MONTH(FebSun1+1)=2),FebSun1+1,""),IF(AND(YEAR(FebSun1+8)=CalendarYear,MONTH(FebSun1+8)=2),FebSun1+8,""))</f>
        <v>43863</v>
      </c>
      <c r="K11" s="14">
        <f>IF(DAY(FebSun1)=1,IF(AND(YEAR(FebSun1+2)=CalendarYear,MONTH(FebSun1+2)=2),FebSun1+2,""),IF(AND(YEAR(FebSun1+9)=CalendarYear,MONTH(FebSun1+9)=2),FebSun1+9,""))</f>
        <v>43864</v>
      </c>
      <c r="L11" s="14">
        <f>IF(DAY(FebSun1)=1,IF(AND(YEAR(FebSun1+3)=CalendarYear,MONTH(FebSun1+3)=2),FebSun1+3,""),IF(AND(YEAR(FebSun1+10)=CalendarYear,MONTH(FebSun1+10)=2),FebSun1+10,""))</f>
        <v>43865</v>
      </c>
      <c r="M11" s="14">
        <f>IF(DAY(FebSun1)=1,IF(AND(YEAR(FebSun1+4)=CalendarYear,MONTH(FebSun1+4)=2),FebSun1+4,""),IF(AND(YEAR(FebSun1+11)=CalendarYear,MONTH(FebSun1+11)=2),FebSun1+11,""))</f>
        <v>43866</v>
      </c>
      <c r="N11" s="14">
        <f>IF(DAY(FebSun1)=1,IF(AND(YEAR(FebSun1+5)=CalendarYear,MONTH(FebSun1+5)=2),FebSun1+5,""),IF(AND(YEAR(FebSun1+12)=CalendarYear,MONTH(FebSun1+12)=2),FebSun1+12,""))</f>
        <v>43867</v>
      </c>
      <c r="O11" s="14">
        <f>IF(DAY(FebSun1)=1,IF(AND(YEAR(FebSun1+6)=CalendarYear,MONTH(FebSun1+6)=2),FebSun1+6,""),IF(AND(YEAR(FebSun1+13)=CalendarYear,MONTH(FebSun1+13)=2),FebSun1+13,""))</f>
        <v>43868</v>
      </c>
      <c r="P11" s="14">
        <f>IF(DAY(FebSun1)=1,IF(AND(YEAR(FebSun1+7)=CalendarYear,MONTH(FebSun1+7)=2),FebSun1+7,""),IF(AND(YEAR(FebSun1+14)=CalendarYear,MONTH(FebSun1+14)=2),FebSun1+14,""))</f>
        <v>43869</v>
      </c>
      <c r="Q11" s="14">
        <f>IF(DAY(FebSun1)=1,IF(AND(YEAR(FebSun1+8)=CalendarYear,MONTH(FebSun1+8)=2),FebSun1+8,""),IF(AND(YEAR(FebSun1+15)=CalendarYear,MONTH(FebSun1+15)=2),FebSun1+15,""))</f>
        <v>43870</v>
      </c>
      <c r="R11" s="14">
        <f>IF(DAY(FebSun1)=1,IF(AND(YEAR(FebSun1+9)=CalendarYear,MONTH(FebSun1+9)=2),FebSun1+9,""),IF(AND(YEAR(FebSun1+16)=CalendarYear,MONTH(FebSun1+16)=2),FebSun1+16,""))</f>
        <v>43871</v>
      </c>
      <c r="S11" s="14">
        <f>IF(DAY(FebSun1)=1,IF(AND(YEAR(FebSun1+10)=CalendarYear,MONTH(FebSun1+10)=2),FebSun1+10,""),IF(AND(YEAR(FebSun1+17)=CalendarYear,MONTH(FebSun1+17)=2),FebSun1+17,""))</f>
        <v>43872</v>
      </c>
      <c r="T11" s="14">
        <f>IF(DAY(FebSun1)=1,IF(AND(YEAR(FebSun1+11)=CalendarYear,MONTH(FebSun1+11)=2),FebSun1+11,""),IF(AND(YEAR(FebSun1+18)=CalendarYear,MONTH(FebSun1+18)=2),FebSun1+18,""))</f>
        <v>43873</v>
      </c>
      <c r="U11" s="14">
        <f>IF(DAY(FebSun1)=1,IF(AND(YEAR(FebSun1+12)=CalendarYear,MONTH(FebSun1+12)=2),FebSun1+12,""),IF(AND(YEAR(FebSun1+19)=CalendarYear,MONTH(FebSun1+19)=2),FebSun1+19,""))</f>
        <v>43874</v>
      </c>
      <c r="V11" s="14">
        <f>IF(DAY(FebSun1)=1,IF(AND(YEAR(FebSun1+13)=CalendarYear,MONTH(FebSun1+13)=2),FebSun1+13,""),IF(AND(YEAR(FebSun1+20)=CalendarYear,MONTH(FebSun1+20)=2),FebSun1+20,""))</f>
        <v>43875</v>
      </c>
      <c r="W11" s="14">
        <f>IF(DAY(FebSun1)=1,IF(AND(YEAR(FebSun1+14)=CalendarYear,MONTH(FebSun1+14)=2),FebSun1+14,""),IF(AND(YEAR(FebSun1+21)=CalendarYear,MONTH(FebSun1+21)=2),FebSun1+21,""))</f>
        <v>43876</v>
      </c>
      <c r="X11" s="14">
        <f>IF(DAY(FebSun1)=1,IF(AND(YEAR(FebSun1+15)=CalendarYear,MONTH(FebSun1+15)=2),FebSun1+15,""),IF(AND(YEAR(FebSun1+22)=CalendarYear,MONTH(FebSun1+22)=2),FebSun1+22,""))</f>
        <v>43877</v>
      </c>
      <c r="Y11" s="14">
        <f>IF(DAY(FebSun1)=1,IF(AND(YEAR(FebSun1+16)=CalendarYear,MONTH(FebSun1+16)=2),FebSun1+16,""),IF(AND(YEAR(FebSun1+23)=CalendarYear,MONTH(FebSun1+23)=2),FebSun1+23,""))</f>
        <v>43878</v>
      </c>
      <c r="Z11" s="14">
        <f>IF(DAY(FebSun1)=1,IF(AND(YEAR(FebSun1+17)=CalendarYear,MONTH(FebSun1+17)=2),FebSun1+17,""),IF(AND(YEAR(FebSun1+24)=CalendarYear,MONTH(FebSun1+24)=2),FebSun1+24,""))</f>
        <v>43879</v>
      </c>
      <c r="AA11" s="14">
        <f>IF(DAY(FebSun1)=1,IF(AND(YEAR(FebSun1+18)=CalendarYear,MONTH(FebSun1+18)=2),FebSun1+18,""),IF(AND(YEAR(FebSun1+25)=CalendarYear,MONTH(FebSun1+25)=2),FebSun1+25,""))</f>
        <v>43880</v>
      </c>
      <c r="AB11" s="14">
        <f>IF(DAY(FebSun1)=1,IF(AND(YEAR(FebSun1+19)=CalendarYear,MONTH(FebSun1+19)=2),FebSun1+19,""),IF(AND(YEAR(FebSun1+26)=CalendarYear,MONTH(FebSun1+26)=2),FebSun1+26,""))</f>
        <v>43881</v>
      </c>
      <c r="AC11" s="14">
        <f>IF(DAY(FebSun1)=1,IF(AND(YEAR(FebSun1+20)=CalendarYear,MONTH(FebSun1+20)=2),FebSun1+20,""),IF(AND(YEAR(FebSun1+27)=CalendarYear,MONTH(FebSun1+27)=2),FebSun1+27,""))</f>
        <v>43882</v>
      </c>
      <c r="AD11" s="14">
        <f>IF(DAY(FebSun1)=1,IF(AND(YEAR(FebSun1+21)=CalendarYear,MONTH(FebSun1+21)=2),FebSun1+21,""),IF(AND(YEAR(FebSun1+28)=CalendarYear,MONTH(FebSun1+28)=2),FebSun1+28,""))</f>
        <v>43883</v>
      </c>
      <c r="AE11" s="14">
        <f>IF(DAY(FebSun1)=1,IF(AND(YEAR(FebSun1+22)=CalendarYear,MONTH(FebSun1+22)=2),FebSun1+22,""),IF(AND(YEAR(FebSun1+29)=CalendarYear,MONTH(FebSun1+29)=2),FebSun1+29,""))</f>
        <v>43884</v>
      </c>
      <c r="AF11" s="14">
        <f>IF(DAY(FebSun1)=1,IF(AND(YEAR(FebSun1+23)=CalendarYear,MONTH(FebSun1+23)=2),FebSun1+23,""),IF(AND(YEAR(FebSun1+30)=CalendarYear,MONTH(FebSun1+30)=2),FebSun1+30,""))</f>
        <v>43885</v>
      </c>
      <c r="AG11" s="14">
        <f>IF(DAY(FebSun1)=1,IF(AND(YEAR(FebSun1+24)=CalendarYear,MONTH(FebSun1+24)=2),FebSun1+24,""),IF(AND(YEAR(FebSun1+31)=CalendarYear,MONTH(FebSun1+31)=2),FebSun1+31,""))</f>
        <v>43886</v>
      </c>
      <c r="AH11" s="14">
        <f>IF(DAY(FebSun1)=1,IF(AND(YEAR(FebSun1+25)=CalendarYear,MONTH(FebSun1+25)=2),FebSun1+25,""),IF(AND(YEAR(FebSun1+32)=CalendarYear,MONTH(FebSun1+32)=2),FebSun1+32,""))</f>
        <v>43887</v>
      </c>
      <c r="AI11" s="14">
        <f>IF(DAY(FebSun1)=1,IF(AND(YEAR(FebSun1+26)=CalendarYear,MONTH(FebSun1+26)=2),FebSun1+26,""),IF(AND(YEAR(FebSun1+33)=CalendarYear,MONTH(FebSun1+33)=2),FebSun1+33,""))</f>
        <v>43888</v>
      </c>
      <c r="AJ11" s="14">
        <f>IF(DAY(FebSun1)=1,IF(AND(YEAR(FebSun1+27)=CalendarYear,MONTH(FebSun1+27)=2),FebSun1+27,""),IF(AND(YEAR(FebSun1+34)=CalendarYear,MONTH(FebSun1+34)=2),FebSun1+34,""))</f>
        <v>43889</v>
      </c>
      <c r="AK11" s="14">
        <f>IF(DAY(FebSun1)=1,IF(AND(YEAR(FebSun1+28)=CalendarYear,MONTH(FebSun1+28)=2),FebSun1+28,""),IF(AND(YEAR(FebSun1+35)=CalendarYear,MONTH(FebSun1+35)=2),FebSun1+35,""))</f>
        <v>43890</v>
      </c>
      <c r="AL11" s="14" t="str">
        <f>IF(DAY(FebSun1)=1,IF(AND(YEAR(FebSun1+29)=CalendarYear,MONTH(FebSun1+29)=2),FebSun1+29,""),IF(AND(YEAR(FebSun1+36)=CalendarYear,MONTH(FebSun1+36)=2),FebSun1+36,""))</f>
        <v/>
      </c>
      <c r="AM11" s="15" t="str">
        <f>IF(DAY(FebSun1)=1,IF(AND(YEAR(FebSun1+30)=CalendarYear,MONTH(FebSun1+30)=2),FebSun1+30,""),IF(AND(YEAR(FebSun1+37)=CalendarYear,MONTH(FebSun1+37)=2),FebSun1+37,""))</f>
        <v/>
      </c>
    </row>
    <row r="12" spans="2:39" s="24" customFormat="1" ht="18.95" customHeight="1" x14ac:dyDescent="0.3">
      <c r="B12" s="17"/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  <c r="J12" s="18" t="s">
        <v>1</v>
      </c>
      <c r="K12" s="18" t="s">
        <v>2</v>
      </c>
      <c r="L12" s="18" t="s">
        <v>3</v>
      </c>
      <c r="M12" s="18" t="s">
        <v>4</v>
      </c>
      <c r="N12" s="18" t="s">
        <v>5</v>
      </c>
      <c r="O12" s="18" t="s">
        <v>6</v>
      </c>
      <c r="P12" s="18" t="s">
        <v>7</v>
      </c>
      <c r="Q12" s="18" t="s">
        <v>1</v>
      </c>
      <c r="R12" s="18" t="s">
        <v>2</v>
      </c>
      <c r="S12" s="18" t="s">
        <v>3</v>
      </c>
      <c r="T12" s="18" t="s">
        <v>4</v>
      </c>
      <c r="U12" s="18" t="s">
        <v>5</v>
      </c>
      <c r="V12" s="18" t="s">
        <v>6</v>
      </c>
      <c r="W12" s="18" t="s">
        <v>7</v>
      </c>
      <c r="X12" s="18" t="s">
        <v>1</v>
      </c>
      <c r="Y12" s="18" t="s">
        <v>2</v>
      </c>
      <c r="Z12" s="18" t="s">
        <v>3</v>
      </c>
      <c r="AA12" s="18" t="s">
        <v>4</v>
      </c>
      <c r="AB12" s="18" t="s">
        <v>5</v>
      </c>
      <c r="AC12" s="18" t="s">
        <v>6</v>
      </c>
      <c r="AD12" s="18" t="s">
        <v>7</v>
      </c>
      <c r="AE12" s="18" t="s">
        <v>1</v>
      </c>
      <c r="AF12" s="18" t="s">
        <v>2</v>
      </c>
      <c r="AG12" s="18" t="s">
        <v>3</v>
      </c>
      <c r="AH12" s="18" t="s">
        <v>4</v>
      </c>
      <c r="AI12" s="18" t="s">
        <v>5</v>
      </c>
      <c r="AJ12" s="18" t="s">
        <v>6</v>
      </c>
      <c r="AK12" s="18" t="s">
        <v>7</v>
      </c>
      <c r="AL12" s="18" t="s">
        <v>1</v>
      </c>
      <c r="AM12" s="19" t="s">
        <v>2</v>
      </c>
    </row>
    <row r="13" spans="2:39" ht="18.95" customHeight="1" x14ac:dyDescent="0.3">
      <c r="B13" s="20" t="str">
        <f>IF(Job1_Name="","",Job1_Name)</f>
        <v>Job 1</v>
      </c>
      <c r="C13" s="21" t="str">
        <f t="shared" ref="C13:AM13" si="3">IF(OR(NOT(ISNUMBER(C11)),C11&lt;Job1_StartDate),"",IF(MID(Job1_Pattern,MOD(C11-Job1_StartDate,LEN(Job1_Pattern))+1,1)=Job1_Shift1_Code,1,IF(MID(Job1_Pattern,MOD(C11-Job1_StartDate,LEN(Job1_Pattern))+1,1)=Job1_Shift2_Code,2,IF(MID(Job1_Pattern,MOD(C11-Job1_StartDate,LEN(Job1_Pattern))+1,1)=Job1_Shift3_Code,3,""))))</f>
        <v/>
      </c>
      <c r="D13" s="21" t="str">
        <f t="shared" si="3"/>
        <v/>
      </c>
      <c r="E13" s="21" t="str">
        <f t="shared" si="3"/>
        <v/>
      </c>
      <c r="F13" s="21" t="str">
        <f t="shared" si="3"/>
        <v/>
      </c>
      <c r="G13" s="21" t="str">
        <f t="shared" si="3"/>
        <v/>
      </c>
      <c r="H13" s="21" t="str">
        <f t="shared" si="3"/>
        <v/>
      </c>
      <c r="I13" s="21" t="str">
        <f t="shared" si="3"/>
        <v/>
      </c>
      <c r="J13" s="21" t="str">
        <f t="shared" si="3"/>
        <v/>
      </c>
      <c r="K13" s="21" t="str">
        <f t="shared" si="3"/>
        <v/>
      </c>
      <c r="L13" s="21">
        <f t="shared" si="3"/>
        <v>1</v>
      </c>
      <c r="M13" s="21">
        <f t="shared" si="3"/>
        <v>1</v>
      </c>
      <c r="N13" s="21">
        <f t="shared" si="3"/>
        <v>1</v>
      </c>
      <c r="O13" s="21">
        <f t="shared" si="3"/>
        <v>1</v>
      </c>
      <c r="P13" s="21" t="str">
        <f t="shared" si="3"/>
        <v/>
      </c>
      <c r="Q13" s="21" t="str">
        <f t="shared" si="3"/>
        <v/>
      </c>
      <c r="R13" s="21">
        <f t="shared" si="3"/>
        <v>2</v>
      </c>
      <c r="S13" s="21">
        <f t="shared" si="3"/>
        <v>2</v>
      </c>
      <c r="T13" s="21">
        <f t="shared" si="3"/>
        <v>2</v>
      </c>
      <c r="U13" s="21">
        <f t="shared" si="3"/>
        <v>2</v>
      </c>
      <c r="V13" s="21" t="str">
        <f t="shared" si="3"/>
        <v/>
      </c>
      <c r="W13" s="21" t="str">
        <f t="shared" si="3"/>
        <v/>
      </c>
      <c r="X13" s="21">
        <f t="shared" si="3"/>
        <v>1</v>
      </c>
      <c r="Y13" s="21">
        <f t="shared" si="3"/>
        <v>1</v>
      </c>
      <c r="Z13" s="21">
        <f t="shared" si="3"/>
        <v>1</v>
      </c>
      <c r="AA13" s="21" t="str">
        <f t="shared" si="3"/>
        <v/>
      </c>
      <c r="AB13" s="21">
        <f t="shared" si="3"/>
        <v>2</v>
      </c>
      <c r="AC13" s="21">
        <f t="shared" si="3"/>
        <v>2</v>
      </c>
      <c r="AD13" s="21">
        <f t="shared" si="3"/>
        <v>2</v>
      </c>
      <c r="AE13" s="21" t="str">
        <f t="shared" si="3"/>
        <v/>
      </c>
      <c r="AF13" s="21" t="str">
        <f t="shared" si="3"/>
        <v/>
      </c>
      <c r="AG13" s="21" t="str">
        <f t="shared" si="3"/>
        <v/>
      </c>
      <c r="AH13" s="21">
        <f t="shared" si="3"/>
        <v>1</v>
      </c>
      <c r="AI13" s="21">
        <f t="shared" si="3"/>
        <v>1</v>
      </c>
      <c r="AJ13" s="21" t="str">
        <f t="shared" si="3"/>
        <v/>
      </c>
      <c r="AK13" s="21">
        <f t="shared" si="3"/>
        <v>2</v>
      </c>
      <c r="AL13" s="21" t="str">
        <f t="shared" si="3"/>
        <v/>
      </c>
      <c r="AM13" s="21" t="str">
        <f t="shared" si="3"/>
        <v/>
      </c>
    </row>
    <row r="14" spans="2:39" ht="18.95" customHeight="1" x14ac:dyDescent="0.3">
      <c r="B14" s="22" t="str">
        <f>IF(Job2_Name="","",Job2_Name)</f>
        <v>Job 2</v>
      </c>
      <c r="C14" s="23" t="str">
        <f t="shared" ref="C14:AM14" si="4">IF(OR(NOT(ISNUMBER(C11)),C11&lt;Job2_StartDate),"",IF(MID(Job2_Pattern,MOD(C11-Job2_StartDate,LEN(Job2_Pattern))+1,1)=Job2_Shift1_Code,1,IF(MID(Job2_Pattern,MOD(C11-Job2_StartDate,LEN(Job2_Pattern))+1,1)=Job2_Shift2_Code,2,IF(MID(Job2_Pattern,MOD(C11-Job2_StartDate,LEN(Job2_Pattern))+1,1)=Job2_Shift3_Code,3,""))))</f>
        <v/>
      </c>
      <c r="D14" s="23" t="str">
        <f t="shared" si="4"/>
        <v/>
      </c>
      <c r="E14" s="23" t="str">
        <f t="shared" si="4"/>
        <v/>
      </c>
      <c r="F14" s="23" t="str">
        <f t="shared" si="4"/>
        <v/>
      </c>
      <c r="G14" s="23" t="str">
        <f t="shared" si="4"/>
        <v/>
      </c>
      <c r="H14" s="23" t="str">
        <f t="shared" si="4"/>
        <v/>
      </c>
      <c r="I14" s="23">
        <f t="shared" si="4"/>
        <v>1</v>
      </c>
      <c r="J14" s="23">
        <f t="shared" si="4"/>
        <v>1</v>
      </c>
      <c r="K14" s="23" t="str">
        <f t="shared" si="4"/>
        <v/>
      </c>
      <c r="L14" s="23" t="str">
        <f t="shared" si="4"/>
        <v/>
      </c>
      <c r="M14" s="23" t="str">
        <f t="shared" si="4"/>
        <v/>
      </c>
      <c r="N14" s="23">
        <f t="shared" si="4"/>
        <v>2</v>
      </c>
      <c r="O14" s="23">
        <f t="shared" si="4"/>
        <v>2</v>
      </c>
      <c r="P14" s="23" t="str">
        <f t="shared" si="4"/>
        <v/>
      </c>
      <c r="Q14" s="23">
        <f t="shared" si="4"/>
        <v>1</v>
      </c>
      <c r="R14" s="23">
        <f t="shared" si="4"/>
        <v>1</v>
      </c>
      <c r="S14" s="23" t="str">
        <f t="shared" si="4"/>
        <v/>
      </c>
      <c r="T14" s="23" t="str">
        <f t="shared" si="4"/>
        <v/>
      </c>
      <c r="U14" s="23" t="str">
        <f t="shared" si="4"/>
        <v/>
      </c>
      <c r="V14" s="23">
        <f t="shared" si="4"/>
        <v>2</v>
      </c>
      <c r="W14" s="23">
        <f t="shared" si="4"/>
        <v>2</v>
      </c>
      <c r="X14" s="23">
        <f t="shared" si="4"/>
        <v>2</v>
      </c>
      <c r="Y14" s="23">
        <f t="shared" si="4"/>
        <v>2</v>
      </c>
      <c r="Z14" s="23" t="str">
        <f t="shared" si="4"/>
        <v/>
      </c>
      <c r="AA14" s="23" t="str">
        <f t="shared" si="4"/>
        <v/>
      </c>
      <c r="AB14" s="23" t="str">
        <f t="shared" si="4"/>
        <v/>
      </c>
      <c r="AC14" s="23" t="str">
        <f t="shared" si="4"/>
        <v/>
      </c>
      <c r="AD14" s="23" t="str">
        <f t="shared" si="4"/>
        <v/>
      </c>
      <c r="AE14" s="23">
        <f t="shared" si="4"/>
        <v>1</v>
      </c>
      <c r="AF14" s="23" t="str">
        <f t="shared" si="4"/>
        <v/>
      </c>
      <c r="AG14" s="23" t="str">
        <f t="shared" si="4"/>
        <v/>
      </c>
      <c r="AH14" s="23">
        <f t="shared" si="4"/>
        <v>2</v>
      </c>
      <c r="AI14" s="23">
        <f t="shared" si="4"/>
        <v>2</v>
      </c>
      <c r="AJ14" s="23">
        <f t="shared" si="4"/>
        <v>2</v>
      </c>
      <c r="AK14" s="23" t="str">
        <f t="shared" si="4"/>
        <v/>
      </c>
      <c r="AL14" s="23" t="str">
        <f t="shared" si="4"/>
        <v/>
      </c>
      <c r="AM14" s="23" t="str">
        <f t="shared" si="4"/>
        <v/>
      </c>
    </row>
    <row r="15" spans="2:39" ht="18.95" customHeight="1" x14ac:dyDescent="0.3">
      <c r="B15" s="22" t="str">
        <f>IF(Job3_Name="","",Job3_Name)</f>
        <v>Job 3</v>
      </c>
      <c r="C15" s="23" t="str">
        <f t="shared" ref="C15:AM15" si="5">IF(OR(NOT(ISNUMBER(C11)),C11&lt;Job3_StartDate),"",IF(MID(Job3_Pattern,MOD(C11-Job3_StartDate,LEN(Job3_Pattern))+1,1)=Job3_Shift1_Code,1,IF(MID(Job3_Pattern,MOD(C11-Job3_StartDate,LEN(Job3_Pattern))+1,1)=Job3_Shift2_Code,2,IF(MID(Job3_Pattern,MOD(C11-Job3_StartDate,LEN(Job3_Pattern))+1,1)=Job3_Shift3_Code,3,""))))</f>
        <v/>
      </c>
      <c r="D15" s="23" t="str">
        <f t="shared" si="5"/>
        <v/>
      </c>
      <c r="E15" s="23" t="str">
        <f t="shared" si="5"/>
        <v/>
      </c>
      <c r="F15" s="23" t="str">
        <f t="shared" si="5"/>
        <v/>
      </c>
      <c r="G15" s="23" t="str">
        <f t="shared" si="5"/>
        <v/>
      </c>
      <c r="H15" s="23" t="str">
        <f t="shared" si="5"/>
        <v/>
      </c>
      <c r="I15" s="23">
        <f t="shared" si="5"/>
        <v>3</v>
      </c>
      <c r="J15" s="23">
        <f t="shared" si="5"/>
        <v>3</v>
      </c>
      <c r="K15" s="23" t="str">
        <f t="shared" si="5"/>
        <v/>
      </c>
      <c r="L15" s="23" t="str">
        <f t="shared" si="5"/>
        <v/>
      </c>
      <c r="M15" s="23" t="str">
        <f t="shared" si="5"/>
        <v/>
      </c>
      <c r="N15" s="23">
        <f t="shared" si="5"/>
        <v>3</v>
      </c>
      <c r="O15" s="23" t="str">
        <f t="shared" si="5"/>
        <v/>
      </c>
      <c r="P15" s="23" t="str">
        <f t="shared" si="5"/>
        <v/>
      </c>
      <c r="Q15" s="23" t="str">
        <f t="shared" si="5"/>
        <v/>
      </c>
      <c r="R15" s="23" t="str">
        <f t="shared" si="5"/>
        <v/>
      </c>
      <c r="S15" s="23" t="str">
        <f t="shared" si="5"/>
        <v/>
      </c>
      <c r="T15" s="23" t="str">
        <f t="shared" si="5"/>
        <v/>
      </c>
      <c r="U15" s="23">
        <f t="shared" si="5"/>
        <v>3</v>
      </c>
      <c r="V15" s="23">
        <f t="shared" si="5"/>
        <v>3</v>
      </c>
      <c r="W15" s="23" t="str">
        <f t="shared" si="5"/>
        <v/>
      </c>
      <c r="X15" s="23" t="str">
        <f t="shared" si="5"/>
        <v/>
      </c>
      <c r="Y15" s="23" t="str">
        <f t="shared" si="5"/>
        <v/>
      </c>
      <c r="Z15" s="23">
        <f t="shared" si="5"/>
        <v>3</v>
      </c>
      <c r="AA15" s="23">
        <f t="shared" si="5"/>
        <v>3</v>
      </c>
      <c r="AB15" s="23" t="str">
        <f t="shared" si="5"/>
        <v/>
      </c>
      <c r="AC15" s="23" t="str">
        <f t="shared" si="5"/>
        <v/>
      </c>
      <c r="AD15" s="23" t="str">
        <f t="shared" si="5"/>
        <v/>
      </c>
      <c r="AE15" s="23" t="str">
        <f t="shared" si="5"/>
        <v/>
      </c>
      <c r="AF15" s="23">
        <f t="shared" si="5"/>
        <v>3</v>
      </c>
      <c r="AG15" s="23">
        <f t="shared" si="5"/>
        <v>3</v>
      </c>
      <c r="AH15" s="23" t="str">
        <f t="shared" si="5"/>
        <v/>
      </c>
      <c r="AI15" s="23" t="str">
        <f t="shared" si="5"/>
        <v/>
      </c>
      <c r="AJ15" s="23" t="str">
        <f t="shared" si="5"/>
        <v/>
      </c>
      <c r="AK15" s="23" t="str">
        <f t="shared" si="5"/>
        <v/>
      </c>
      <c r="AL15" s="23" t="str">
        <f t="shared" si="5"/>
        <v/>
      </c>
      <c r="AM15" s="23" t="str">
        <f t="shared" si="5"/>
        <v/>
      </c>
    </row>
    <row r="16" spans="2:39" ht="12" customHeight="1" x14ac:dyDescent="0.3"/>
    <row r="17" spans="2:39" s="16" customFormat="1" ht="18.95" customHeight="1" x14ac:dyDescent="0.3">
      <c r="B17" s="13">
        <f>DATE(CalendarYear,3,1)</f>
        <v>43891</v>
      </c>
      <c r="C17" s="14">
        <f>IF(DAY(MarSun1)=1,"",IF(AND(YEAR(MarSun1+1)=CalendarYear,MONTH(MarSun1+1)=3),MarSun1+1,""))</f>
        <v>43891</v>
      </c>
      <c r="D17" s="14">
        <f>IF(DAY(MarSun1)=1,"",IF(AND(YEAR(MarSun1+2)=CalendarYear,MONTH(MarSun1+2)=3),MarSun1+2,""))</f>
        <v>43892</v>
      </c>
      <c r="E17" s="14">
        <f>IF(DAY(MarSun1)=1,"",IF(AND(YEAR(MarSun1+3)=CalendarYear,MONTH(MarSun1+3)=3),MarSun1+3,""))</f>
        <v>43893</v>
      </c>
      <c r="F17" s="14">
        <f>IF(DAY(MarSun1)=1,"",IF(AND(YEAR(MarSun1+4)=CalendarYear,MONTH(MarSun1+4)=3),MarSun1+4,""))</f>
        <v>43894</v>
      </c>
      <c r="G17" s="14">
        <f>IF(DAY(MarSun1)=1,"",IF(AND(YEAR(MarSun1+5)=CalendarYear,MONTH(MarSun1+5)=3),MarSun1+5,""))</f>
        <v>43895</v>
      </c>
      <c r="H17" s="14">
        <f>IF(DAY(MarSun1)=1,"",IF(AND(YEAR(MarSun1+6)=CalendarYear,MONTH(MarSun1+6)=3),MarSun1+6,""))</f>
        <v>43896</v>
      </c>
      <c r="I17" s="14">
        <f>IF(DAY(MarSun1)=1,IF(AND(YEAR(MarSun1)=CalendarYear,MONTH(MarSun1)=3),MarSun1,""),IF(AND(YEAR(MarSun1+7)=CalendarYear,MONTH(MarSun1+7)=3),MarSun1+7,""))</f>
        <v>43897</v>
      </c>
      <c r="J17" s="14">
        <f>IF(DAY(MarSun1)=1,IF(AND(YEAR(MarSun1+1)=CalendarYear,MONTH(MarSun1+1)=3),MarSun1+1,""),IF(AND(YEAR(MarSun1+8)=CalendarYear,MONTH(MarSun1+8)=3),MarSun1+8,""))</f>
        <v>43898</v>
      </c>
      <c r="K17" s="14">
        <f>IF(DAY(MarSun1)=1,IF(AND(YEAR(MarSun1+2)=CalendarYear,MONTH(MarSun1+2)=3),MarSun1+2,""),IF(AND(YEAR(MarSun1+9)=CalendarYear,MONTH(MarSun1+9)=3),MarSun1+9,""))</f>
        <v>43899</v>
      </c>
      <c r="L17" s="14">
        <f>IF(DAY(MarSun1)=1,IF(AND(YEAR(MarSun1+3)=CalendarYear,MONTH(MarSun1+3)=3),MarSun1+3,""),IF(AND(YEAR(MarSun1+10)=CalendarYear,MONTH(MarSun1+10)=3),MarSun1+10,""))</f>
        <v>43900</v>
      </c>
      <c r="M17" s="14">
        <f>IF(DAY(MarSun1)=1,IF(AND(YEAR(MarSun1+4)=CalendarYear,MONTH(MarSun1+4)=3),MarSun1+4,""),IF(AND(YEAR(MarSun1+11)=CalendarYear,MONTH(MarSun1+11)=3),MarSun1+11,""))</f>
        <v>43901</v>
      </c>
      <c r="N17" s="14">
        <f>IF(DAY(MarSun1)=1,IF(AND(YEAR(MarSun1+5)=CalendarYear,MONTH(MarSun1+5)=3),MarSun1+5,""),IF(AND(YEAR(MarSun1+12)=CalendarYear,MONTH(MarSun1+12)=3),MarSun1+12,""))</f>
        <v>43902</v>
      </c>
      <c r="O17" s="14">
        <f>IF(DAY(MarSun1)=1,IF(AND(YEAR(MarSun1+6)=CalendarYear,MONTH(MarSun1+6)=3),MarSun1+6,""),IF(AND(YEAR(MarSun1+13)=CalendarYear,MONTH(MarSun1+13)=3),MarSun1+13,""))</f>
        <v>43903</v>
      </c>
      <c r="P17" s="14">
        <f>IF(DAY(MarSun1)=1,IF(AND(YEAR(MarSun1+7)=CalendarYear,MONTH(MarSun1+7)=3),MarSun1+7,""),IF(AND(YEAR(MarSun1+14)=CalendarYear,MONTH(MarSun1+14)=3),MarSun1+14,""))</f>
        <v>43904</v>
      </c>
      <c r="Q17" s="14">
        <f>IF(DAY(MarSun1)=1,IF(AND(YEAR(MarSun1+8)=CalendarYear,MONTH(MarSun1+8)=3),MarSun1+8,""),IF(AND(YEAR(MarSun1+15)=CalendarYear,MONTH(MarSun1+15)=3),MarSun1+15,""))</f>
        <v>43905</v>
      </c>
      <c r="R17" s="14">
        <f>IF(DAY(MarSun1)=1,IF(AND(YEAR(MarSun1+9)=CalendarYear,MONTH(MarSun1+9)=3),MarSun1+9,""),IF(AND(YEAR(MarSun1+16)=CalendarYear,MONTH(MarSun1+16)=3),MarSun1+16,""))</f>
        <v>43906</v>
      </c>
      <c r="S17" s="14">
        <f>IF(DAY(MarSun1)=1,IF(AND(YEAR(MarSun1+10)=CalendarYear,MONTH(MarSun1+10)=3),MarSun1+10,""),IF(AND(YEAR(MarSun1+17)=CalendarYear,MONTH(MarSun1+17)=3),MarSun1+17,""))</f>
        <v>43907</v>
      </c>
      <c r="T17" s="14">
        <f>IF(DAY(MarSun1)=1,IF(AND(YEAR(MarSun1+11)=CalendarYear,MONTH(MarSun1+11)=3),MarSun1+11,""),IF(AND(YEAR(MarSun1+18)=CalendarYear,MONTH(MarSun1+18)=3),MarSun1+18,""))</f>
        <v>43908</v>
      </c>
      <c r="U17" s="14">
        <f>IF(DAY(MarSun1)=1,IF(AND(YEAR(MarSun1+12)=CalendarYear,MONTH(MarSun1+12)=3),MarSun1+12,""),IF(AND(YEAR(MarSun1+19)=CalendarYear,MONTH(MarSun1+19)=3),MarSun1+19,""))</f>
        <v>43909</v>
      </c>
      <c r="V17" s="14">
        <f>IF(DAY(MarSun1)=1,IF(AND(YEAR(MarSun1+13)=CalendarYear,MONTH(MarSun1+13)=3),MarSun1+13,""),IF(AND(YEAR(MarSun1+20)=CalendarYear,MONTH(MarSun1+20)=3),MarSun1+20,""))</f>
        <v>43910</v>
      </c>
      <c r="W17" s="14">
        <f>IF(DAY(MarSun1)=1,IF(AND(YEAR(MarSun1+14)=CalendarYear,MONTH(MarSun1+14)=3),MarSun1+14,""),IF(AND(YEAR(MarSun1+21)=CalendarYear,MONTH(MarSun1+21)=3),MarSun1+21,""))</f>
        <v>43911</v>
      </c>
      <c r="X17" s="14">
        <f>IF(DAY(MarSun1)=1,IF(AND(YEAR(MarSun1+15)=CalendarYear,MONTH(MarSun1+15)=3),MarSun1+15,""),IF(AND(YEAR(MarSun1+22)=CalendarYear,MONTH(MarSun1+22)=3),MarSun1+22,""))</f>
        <v>43912</v>
      </c>
      <c r="Y17" s="14">
        <f>IF(DAY(MarSun1)=1,IF(AND(YEAR(MarSun1+16)=CalendarYear,MONTH(MarSun1+16)=3),MarSun1+16,""),IF(AND(YEAR(MarSun1+23)=CalendarYear,MONTH(MarSun1+23)=3),MarSun1+23,""))</f>
        <v>43913</v>
      </c>
      <c r="Z17" s="14">
        <f>IF(DAY(MarSun1)=1,IF(AND(YEAR(MarSun1+17)=CalendarYear,MONTH(MarSun1+17)=3),MarSun1+17,""),IF(AND(YEAR(MarSun1+24)=CalendarYear,MONTH(MarSun1+24)=3),MarSun1+24,""))</f>
        <v>43914</v>
      </c>
      <c r="AA17" s="14">
        <f>IF(DAY(MarSun1)=1,IF(AND(YEAR(MarSun1+18)=CalendarYear,MONTH(MarSun1+18)=3),MarSun1+18,""),IF(AND(YEAR(MarSun1+25)=CalendarYear,MONTH(MarSun1+25)=3),MarSun1+25,""))</f>
        <v>43915</v>
      </c>
      <c r="AB17" s="14">
        <f>IF(DAY(MarSun1)=1,IF(AND(YEAR(MarSun1+19)=CalendarYear,MONTH(MarSun1+19)=3),MarSun1+19,""),IF(AND(YEAR(MarSun1+26)=CalendarYear,MONTH(MarSun1+26)=3),MarSun1+26,""))</f>
        <v>43916</v>
      </c>
      <c r="AC17" s="14">
        <f>IF(DAY(MarSun1)=1,IF(AND(YEAR(MarSun1+20)=CalendarYear,MONTH(MarSun1+20)=3),MarSun1+20,""),IF(AND(YEAR(MarSun1+27)=CalendarYear,MONTH(MarSun1+27)=3),MarSun1+27,""))</f>
        <v>43917</v>
      </c>
      <c r="AD17" s="14">
        <f>IF(DAY(MarSun1)=1,IF(AND(YEAR(MarSun1+21)=CalendarYear,MONTH(MarSun1+21)=3),MarSun1+21,""),IF(AND(YEAR(MarSun1+28)=CalendarYear,MONTH(MarSun1+28)=3),MarSun1+28,""))</f>
        <v>43918</v>
      </c>
      <c r="AE17" s="14">
        <f>IF(DAY(MarSun1)=1,IF(AND(YEAR(MarSun1+22)=CalendarYear,MONTH(MarSun1+22)=3),MarSun1+22,""),IF(AND(YEAR(MarSun1+29)=CalendarYear,MONTH(MarSun1+29)=3),MarSun1+29,""))</f>
        <v>43919</v>
      </c>
      <c r="AF17" s="14">
        <f>IF(DAY(MarSun1)=1,IF(AND(YEAR(MarSun1+23)=CalendarYear,MONTH(MarSun1+23)=3),MarSun1+23,""),IF(AND(YEAR(MarSun1+30)=CalendarYear,MONTH(MarSun1+30)=3),MarSun1+30,""))</f>
        <v>43920</v>
      </c>
      <c r="AG17" s="14">
        <f>IF(DAY(MarSun1)=1,IF(AND(YEAR(MarSun1+24)=CalendarYear,MONTH(MarSun1+24)=3),MarSun1+24,""),IF(AND(YEAR(MarSun1+31)=CalendarYear,MONTH(MarSun1+31)=3),MarSun1+31,""))</f>
        <v>43921</v>
      </c>
      <c r="AH17" s="14" t="str">
        <f>IF(DAY(MarSun1)=1,IF(AND(YEAR(MarSun1+25)=CalendarYear,MONTH(MarSun1+25)=3),MarSun1+25,""),IF(AND(YEAR(MarSun1+32)=CalendarYear,MONTH(MarSun1+32)=3),MarSun1+32,""))</f>
        <v/>
      </c>
      <c r="AI17" s="14" t="str">
        <f>IF(DAY(MarSun1)=1,IF(AND(YEAR(MarSun1+26)=CalendarYear,MONTH(MarSun1+26)=3),MarSun1+26,""),IF(AND(YEAR(MarSun1+33)=CalendarYear,MONTH(MarSun1+33)=3),MarSun1+33,""))</f>
        <v/>
      </c>
      <c r="AJ17" s="14" t="str">
        <f>IF(DAY(MarSun1)=1,IF(AND(YEAR(MarSun1+27)=CalendarYear,MONTH(MarSun1+27)=3),MarSun1+27,""),IF(AND(YEAR(MarSun1+34)=CalendarYear,MONTH(MarSun1+34)=3),MarSun1+34,""))</f>
        <v/>
      </c>
      <c r="AK17" s="14" t="str">
        <f>IF(DAY(MarSun1)=1,IF(AND(YEAR(MarSun1+28)=CalendarYear,MONTH(MarSun1+28)=3),MarSun1+28,""),IF(AND(YEAR(MarSun1+35)=CalendarYear,MONTH(MarSun1+35)=3),MarSun1+35,""))</f>
        <v/>
      </c>
      <c r="AL17" s="14" t="str">
        <f>IF(DAY(MarSun1)=1,IF(AND(YEAR(MarSun1+29)=CalendarYear,MONTH(MarSun1+29)=3),MarSun1+29,""),IF(AND(YEAR(MarSun1+36)=CalendarYear,MONTH(MarSun1+36)=3),MarSun1+36,""))</f>
        <v/>
      </c>
      <c r="AM17" s="15" t="str">
        <f>IF(DAY(MarSun1)=1,IF(AND(YEAR(MarSun1+30)=CalendarYear,MONTH(MarSun1+30)=3),MarSun1+30,""),IF(AND(YEAR(MarSun1+37)=CalendarYear,MONTH(MarSun1+37)=3),MarSun1+37,""))</f>
        <v/>
      </c>
    </row>
    <row r="18" spans="2:39" s="16" customFormat="1" ht="18.95" customHeight="1" x14ac:dyDescent="0.3">
      <c r="B18" s="17"/>
      <c r="C18" s="18" t="s">
        <v>1</v>
      </c>
      <c r="D18" s="18" t="s">
        <v>2</v>
      </c>
      <c r="E18" s="18" t="s">
        <v>3</v>
      </c>
      <c r="F18" s="18" t="s">
        <v>4</v>
      </c>
      <c r="G18" s="18" t="s">
        <v>5</v>
      </c>
      <c r="H18" s="18" t="s">
        <v>6</v>
      </c>
      <c r="I18" s="18" t="s">
        <v>7</v>
      </c>
      <c r="J18" s="18" t="s">
        <v>1</v>
      </c>
      <c r="K18" s="18" t="s">
        <v>2</v>
      </c>
      <c r="L18" s="18" t="s">
        <v>3</v>
      </c>
      <c r="M18" s="18" t="s">
        <v>4</v>
      </c>
      <c r="N18" s="18" t="s">
        <v>5</v>
      </c>
      <c r="O18" s="18" t="s">
        <v>6</v>
      </c>
      <c r="P18" s="18" t="s">
        <v>7</v>
      </c>
      <c r="Q18" s="18" t="s">
        <v>1</v>
      </c>
      <c r="R18" s="18" t="s">
        <v>2</v>
      </c>
      <c r="S18" s="18" t="s">
        <v>3</v>
      </c>
      <c r="T18" s="18" t="s">
        <v>4</v>
      </c>
      <c r="U18" s="18" t="s">
        <v>5</v>
      </c>
      <c r="V18" s="18" t="s">
        <v>6</v>
      </c>
      <c r="W18" s="18" t="s">
        <v>7</v>
      </c>
      <c r="X18" s="18" t="s">
        <v>1</v>
      </c>
      <c r="Y18" s="18" t="s">
        <v>2</v>
      </c>
      <c r="Z18" s="18" t="s">
        <v>3</v>
      </c>
      <c r="AA18" s="18" t="s">
        <v>4</v>
      </c>
      <c r="AB18" s="18" t="s">
        <v>5</v>
      </c>
      <c r="AC18" s="18" t="s">
        <v>6</v>
      </c>
      <c r="AD18" s="18" t="s">
        <v>7</v>
      </c>
      <c r="AE18" s="18" t="s">
        <v>1</v>
      </c>
      <c r="AF18" s="18" t="s">
        <v>2</v>
      </c>
      <c r="AG18" s="18" t="s">
        <v>3</v>
      </c>
      <c r="AH18" s="18" t="s">
        <v>4</v>
      </c>
      <c r="AI18" s="18" t="s">
        <v>5</v>
      </c>
      <c r="AJ18" s="18" t="s">
        <v>6</v>
      </c>
      <c r="AK18" s="18" t="s">
        <v>7</v>
      </c>
      <c r="AL18" s="18" t="s">
        <v>1</v>
      </c>
      <c r="AM18" s="19" t="s">
        <v>2</v>
      </c>
    </row>
    <row r="19" spans="2:39" ht="18.95" customHeight="1" x14ac:dyDescent="0.3">
      <c r="B19" s="20" t="str">
        <f>IF(Job1_Name="","",Job1_Name)</f>
        <v>Job 1</v>
      </c>
      <c r="C19" s="21">
        <f t="shared" ref="C19:AM19" si="6">IF(OR(NOT(ISNUMBER(C17)),C17&lt;Job1_StartDate),"",IF(MID(Job1_Pattern,MOD(C17-Job1_StartDate,LEN(Job1_Pattern))+1,1)=Job1_Shift1_Code,1,IF(MID(Job1_Pattern,MOD(C17-Job1_StartDate,LEN(Job1_Pattern))+1,1)=Job1_Shift2_Code,2,IF(MID(Job1_Pattern,MOD(C17-Job1_StartDate,LEN(Job1_Pattern))+1,1)=Job1_Shift3_Code,3,""))))</f>
        <v>2</v>
      </c>
      <c r="D19" s="21" t="str">
        <f t="shared" si="6"/>
        <v/>
      </c>
      <c r="E19" s="21" t="str">
        <f t="shared" si="6"/>
        <v/>
      </c>
      <c r="F19" s="21" t="str">
        <f t="shared" si="6"/>
        <v/>
      </c>
      <c r="G19" s="21">
        <f t="shared" si="6"/>
        <v>1</v>
      </c>
      <c r="H19" s="21">
        <f t="shared" si="6"/>
        <v>1</v>
      </c>
      <c r="I19" s="21">
        <f t="shared" si="6"/>
        <v>1</v>
      </c>
      <c r="J19" s="21">
        <f t="shared" si="6"/>
        <v>1</v>
      </c>
      <c r="K19" s="21" t="str">
        <f t="shared" si="6"/>
        <v/>
      </c>
      <c r="L19" s="21" t="str">
        <f t="shared" si="6"/>
        <v/>
      </c>
      <c r="M19" s="21">
        <f t="shared" si="6"/>
        <v>2</v>
      </c>
      <c r="N19" s="21">
        <f t="shared" si="6"/>
        <v>2</v>
      </c>
      <c r="O19" s="21">
        <f t="shared" si="6"/>
        <v>2</v>
      </c>
      <c r="P19" s="21">
        <f t="shared" si="6"/>
        <v>2</v>
      </c>
      <c r="Q19" s="21" t="str">
        <f t="shared" si="6"/>
        <v/>
      </c>
      <c r="R19" s="21" t="str">
        <f t="shared" si="6"/>
        <v/>
      </c>
      <c r="S19" s="21">
        <f t="shared" si="6"/>
        <v>1</v>
      </c>
      <c r="T19" s="21">
        <f t="shared" si="6"/>
        <v>1</v>
      </c>
      <c r="U19" s="21">
        <f t="shared" si="6"/>
        <v>1</v>
      </c>
      <c r="V19" s="21" t="str">
        <f t="shared" si="6"/>
        <v/>
      </c>
      <c r="W19" s="21">
        <f t="shared" si="6"/>
        <v>2</v>
      </c>
      <c r="X19" s="21">
        <f t="shared" si="6"/>
        <v>2</v>
      </c>
      <c r="Y19" s="21">
        <f t="shared" si="6"/>
        <v>2</v>
      </c>
      <c r="Z19" s="21" t="str">
        <f t="shared" si="6"/>
        <v/>
      </c>
      <c r="AA19" s="21" t="str">
        <f t="shared" si="6"/>
        <v/>
      </c>
      <c r="AB19" s="21" t="str">
        <f t="shared" si="6"/>
        <v/>
      </c>
      <c r="AC19" s="21">
        <f t="shared" si="6"/>
        <v>1</v>
      </c>
      <c r="AD19" s="21">
        <f t="shared" si="6"/>
        <v>1</v>
      </c>
      <c r="AE19" s="21" t="str">
        <f t="shared" si="6"/>
        <v/>
      </c>
      <c r="AF19" s="21">
        <f t="shared" si="6"/>
        <v>2</v>
      </c>
      <c r="AG19" s="21">
        <f t="shared" si="6"/>
        <v>2</v>
      </c>
      <c r="AH19" s="21" t="str">
        <f t="shared" si="6"/>
        <v/>
      </c>
      <c r="AI19" s="21" t="str">
        <f t="shared" si="6"/>
        <v/>
      </c>
      <c r="AJ19" s="21" t="str">
        <f t="shared" si="6"/>
        <v/>
      </c>
      <c r="AK19" s="21" t="str">
        <f t="shared" si="6"/>
        <v/>
      </c>
      <c r="AL19" s="21" t="str">
        <f t="shared" si="6"/>
        <v/>
      </c>
      <c r="AM19" s="21" t="str">
        <f t="shared" si="6"/>
        <v/>
      </c>
    </row>
    <row r="20" spans="2:39" ht="18.95" customHeight="1" x14ac:dyDescent="0.3">
      <c r="B20" s="22" t="str">
        <f>IF(Job2_Name="","",Job2_Name)</f>
        <v>Job 2</v>
      </c>
      <c r="C20" s="23" t="str">
        <f t="shared" ref="C20:AM20" si="7">IF(OR(NOT(ISNUMBER(C17)),C17&lt;Job2_StartDate),"",IF(MID(Job2_Pattern,MOD(C17-Job2_StartDate,LEN(Job2_Pattern))+1,1)=Job2_Shift1_Code,1,IF(MID(Job2_Pattern,MOD(C17-Job2_StartDate,LEN(Job2_Pattern))+1,1)=Job2_Shift2_Code,2,IF(MID(Job2_Pattern,MOD(C17-Job2_StartDate,LEN(Job2_Pattern))+1,1)=Job2_Shift3_Code,3,""))))</f>
        <v/>
      </c>
      <c r="D20" s="23">
        <f t="shared" si="7"/>
        <v>1</v>
      </c>
      <c r="E20" s="23">
        <f t="shared" si="7"/>
        <v>1</v>
      </c>
      <c r="F20" s="23" t="str">
        <f t="shared" si="7"/>
        <v/>
      </c>
      <c r="G20" s="23" t="str">
        <f t="shared" si="7"/>
        <v/>
      </c>
      <c r="H20" s="23" t="str">
        <f t="shared" si="7"/>
        <v/>
      </c>
      <c r="I20" s="23">
        <f t="shared" si="7"/>
        <v>2</v>
      </c>
      <c r="J20" s="23">
        <f t="shared" si="7"/>
        <v>2</v>
      </c>
      <c r="K20" s="23" t="str">
        <f t="shared" si="7"/>
        <v/>
      </c>
      <c r="L20" s="23">
        <f t="shared" si="7"/>
        <v>1</v>
      </c>
      <c r="M20" s="23">
        <f t="shared" si="7"/>
        <v>1</v>
      </c>
      <c r="N20" s="23" t="str">
        <f t="shared" si="7"/>
        <v/>
      </c>
      <c r="O20" s="23" t="str">
        <f t="shared" si="7"/>
        <v/>
      </c>
      <c r="P20" s="23" t="str">
        <f t="shared" si="7"/>
        <v/>
      </c>
      <c r="Q20" s="23">
        <f t="shared" si="7"/>
        <v>2</v>
      </c>
      <c r="R20" s="23">
        <f t="shared" si="7"/>
        <v>2</v>
      </c>
      <c r="S20" s="23">
        <f t="shared" si="7"/>
        <v>2</v>
      </c>
      <c r="T20" s="23">
        <f t="shared" si="7"/>
        <v>2</v>
      </c>
      <c r="U20" s="23" t="str">
        <f t="shared" si="7"/>
        <v/>
      </c>
      <c r="V20" s="23" t="str">
        <f t="shared" si="7"/>
        <v/>
      </c>
      <c r="W20" s="23" t="str">
        <f t="shared" si="7"/>
        <v/>
      </c>
      <c r="X20" s="23" t="str">
        <f t="shared" si="7"/>
        <v/>
      </c>
      <c r="Y20" s="23" t="str">
        <f t="shared" si="7"/>
        <v/>
      </c>
      <c r="Z20" s="23">
        <f t="shared" si="7"/>
        <v>1</v>
      </c>
      <c r="AA20" s="23" t="str">
        <f t="shared" si="7"/>
        <v/>
      </c>
      <c r="AB20" s="23" t="str">
        <f t="shared" si="7"/>
        <v/>
      </c>
      <c r="AC20" s="23">
        <f t="shared" si="7"/>
        <v>2</v>
      </c>
      <c r="AD20" s="23">
        <f t="shared" si="7"/>
        <v>2</v>
      </c>
      <c r="AE20" s="23">
        <f t="shared" si="7"/>
        <v>2</v>
      </c>
      <c r="AF20" s="23" t="str">
        <f t="shared" si="7"/>
        <v/>
      </c>
      <c r="AG20" s="23" t="str">
        <f t="shared" si="7"/>
        <v/>
      </c>
      <c r="AH20" s="23" t="str">
        <f t="shared" si="7"/>
        <v/>
      </c>
      <c r="AI20" s="23" t="str">
        <f t="shared" si="7"/>
        <v/>
      </c>
      <c r="AJ20" s="23" t="str">
        <f t="shared" si="7"/>
        <v/>
      </c>
      <c r="AK20" s="23" t="str">
        <f t="shared" si="7"/>
        <v/>
      </c>
      <c r="AL20" s="23" t="str">
        <f t="shared" si="7"/>
        <v/>
      </c>
      <c r="AM20" s="23" t="str">
        <f t="shared" si="7"/>
        <v/>
      </c>
    </row>
    <row r="21" spans="2:39" ht="18.95" customHeight="1" x14ac:dyDescent="0.3">
      <c r="B21" s="22" t="str">
        <f>IF(Job3_Name="","",Job3_Name)</f>
        <v>Job 3</v>
      </c>
      <c r="C21" s="23">
        <f t="shared" ref="C21:AM21" si="8">IF(OR(NOT(ISNUMBER(C17)),C17&lt;Job3_StartDate),"",IF(MID(Job3_Pattern,MOD(C17-Job3_StartDate,LEN(Job3_Pattern))+1,1)=Job3_Shift1_Code,1,IF(MID(Job3_Pattern,MOD(C17-Job3_StartDate,LEN(Job3_Pattern))+1,1)=Job3_Shift2_Code,2,IF(MID(Job3_Pattern,MOD(C17-Job3_StartDate,LEN(Job3_Pattern))+1,1)=Job3_Shift3_Code,3,""))))</f>
        <v>3</v>
      </c>
      <c r="D21" s="23">
        <f t="shared" si="8"/>
        <v>3</v>
      </c>
      <c r="E21" s="23">
        <f t="shared" si="8"/>
        <v>3</v>
      </c>
      <c r="F21" s="23" t="str">
        <f t="shared" si="8"/>
        <v/>
      </c>
      <c r="G21" s="23" t="str">
        <f t="shared" si="8"/>
        <v/>
      </c>
      <c r="H21" s="23" t="str">
        <f t="shared" si="8"/>
        <v/>
      </c>
      <c r="I21" s="23">
        <f t="shared" si="8"/>
        <v>3</v>
      </c>
      <c r="J21" s="23" t="str">
        <f t="shared" si="8"/>
        <v/>
      </c>
      <c r="K21" s="23" t="str">
        <f t="shared" si="8"/>
        <v/>
      </c>
      <c r="L21" s="23" t="str">
        <f t="shared" si="8"/>
        <v/>
      </c>
      <c r="M21" s="23" t="str">
        <f t="shared" si="8"/>
        <v/>
      </c>
      <c r="N21" s="23" t="str">
        <f t="shared" si="8"/>
        <v/>
      </c>
      <c r="O21" s="23" t="str">
        <f t="shared" si="8"/>
        <v/>
      </c>
      <c r="P21" s="23">
        <f t="shared" si="8"/>
        <v>3</v>
      </c>
      <c r="Q21" s="23">
        <f t="shared" si="8"/>
        <v>3</v>
      </c>
      <c r="R21" s="23" t="str">
        <f t="shared" si="8"/>
        <v/>
      </c>
      <c r="S21" s="23" t="str">
        <f t="shared" si="8"/>
        <v/>
      </c>
      <c r="T21" s="23" t="str">
        <f t="shared" si="8"/>
        <v/>
      </c>
      <c r="U21" s="23">
        <f t="shared" si="8"/>
        <v>3</v>
      </c>
      <c r="V21" s="23">
        <f t="shared" si="8"/>
        <v>3</v>
      </c>
      <c r="W21" s="23" t="str">
        <f t="shared" si="8"/>
        <v/>
      </c>
      <c r="X21" s="23" t="str">
        <f t="shared" si="8"/>
        <v/>
      </c>
      <c r="Y21" s="23" t="str">
        <f t="shared" si="8"/>
        <v/>
      </c>
      <c r="Z21" s="23" t="str">
        <f t="shared" si="8"/>
        <v/>
      </c>
      <c r="AA21" s="23">
        <f t="shared" si="8"/>
        <v>3</v>
      </c>
      <c r="AB21" s="23">
        <f t="shared" si="8"/>
        <v>3</v>
      </c>
      <c r="AC21" s="23" t="str">
        <f t="shared" si="8"/>
        <v/>
      </c>
      <c r="AD21" s="23" t="str">
        <f t="shared" si="8"/>
        <v/>
      </c>
      <c r="AE21" s="23" t="str">
        <f t="shared" si="8"/>
        <v/>
      </c>
      <c r="AF21" s="23" t="str">
        <f t="shared" si="8"/>
        <v/>
      </c>
      <c r="AG21" s="23">
        <f t="shared" si="8"/>
        <v>3</v>
      </c>
      <c r="AH21" s="23" t="str">
        <f t="shared" si="8"/>
        <v/>
      </c>
      <c r="AI21" s="23" t="str">
        <f t="shared" si="8"/>
        <v/>
      </c>
      <c r="AJ21" s="23" t="str">
        <f t="shared" si="8"/>
        <v/>
      </c>
      <c r="AK21" s="23" t="str">
        <f t="shared" si="8"/>
        <v/>
      </c>
      <c r="AL21" s="23" t="str">
        <f t="shared" si="8"/>
        <v/>
      </c>
      <c r="AM21" s="23" t="str">
        <f t="shared" si="8"/>
        <v/>
      </c>
    </row>
    <row r="22" spans="2:39" ht="12" customHeight="1" x14ac:dyDescent="0.3"/>
    <row r="23" spans="2:39" s="16" customFormat="1" ht="18.95" customHeight="1" x14ac:dyDescent="0.3">
      <c r="B23" s="13">
        <f>DATE(CalendarYear,4,1)</f>
        <v>43922</v>
      </c>
      <c r="C23" s="14" t="str">
        <f>IF(DAY(AprSun1)=1,"",IF(AND(YEAR(AprSun1+1)=CalendarYear,MONTH(AprSun1+1)=4),AprSun1+1,""))</f>
        <v/>
      </c>
      <c r="D23" s="14" t="str">
        <f>IF(DAY(AprSun1)=1,"",IF(AND(YEAR(AprSun1+2)=CalendarYear,MONTH(AprSun1+2)=4),AprSun1+2,""))</f>
        <v/>
      </c>
      <c r="E23" s="14" t="str">
        <f>IF(DAY(AprSun1)=1,"",IF(AND(YEAR(AprSun1+3)=CalendarYear,MONTH(AprSun1+3)=4),AprSun1+3,""))</f>
        <v/>
      </c>
      <c r="F23" s="14">
        <f>IF(DAY(AprSun1)=1,"",IF(AND(YEAR(AprSun1+4)=CalendarYear,MONTH(AprSun1+4)=4),AprSun1+4,""))</f>
        <v>43922</v>
      </c>
      <c r="G23" s="14">
        <f>IF(DAY(AprSun1)=1,"",IF(AND(YEAR(AprSun1+5)=CalendarYear,MONTH(AprSun1+5)=4),AprSun1+5,""))</f>
        <v>43923</v>
      </c>
      <c r="H23" s="14">
        <f>IF(DAY(AprSun1)=1,"",IF(AND(YEAR(AprSun1+6)=CalendarYear,MONTH(AprSun1+6)=4),AprSun1+6,""))</f>
        <v>43924</v>
      </c>
      <c r="I23" s="14">
        <f>IF(DAY(AprSun1)=1,IF(AND(YEAR(AprSun1)=CalendarYear,MONTH(AprSun1)=4),AprSun1,""),IF(AND(YEAR(AprSun1+7)=CalendarYear,MONTH(AprSun1+7)=4),AprSun1+7,""))</f>
        <v>43925</v>
      </c>
      <c r="J23" s="14">
        <f>IF(DAY(AprSun1)=1,IF(AND(YEAR(AprSun1+1)=CalendarYear,MONTH(AprSun1+1)=4),AprSun1+1,""),IF(AND(YEAR(AprSun1+8)=CalendarYear,MONTH(AprSun1+8)=4),AprSun1+8,""))</f>
        <v>43926</v>
      </c>
      <c r="K23" s="14">
        <f>IF(DAY(AprSun1)=1,IF(AND(YEAR(AprSun1+2)=CalendarYear,MONTH(AprSun1+2)=4),AprSun1+2,""),IF(AND(YEAR(AprSun1+9)=CalendarYear,MONTH(AprSun1+9)=4),AprSun1+9,""))</f>
        <v>43927</v>
      </c>
      <c r="L23" s="14">
        <f>IF(DAY(AprSun1)=1,IF(AND(YEAR(AprSun1+3)=CalendarYear,MONTH(AprSun1+3)=4),AprSun1+3,""),IF(AND(YEAR(AprSun1+10)=CalendarYear,MONTH(AprSun1+10)=4),AprSun1+10,""))</f>
        <v>43928</v>
      </c>
      <c r="M23" s="14">
        <f>IF(DAY(AprSun1)=1,IF(AND(YEAR(AprSun1+4)=CalendarYear,MONTH(AprSun1+4)=4),AprSun1+4,""),IF(AND(YEAR(AprSun1+11)=CalendarYear,MONTH(AprSun1+11)=4),AprSun1+11,""))</f>
        <v>43929</v>
      </c>
      <c r="N23" s="14">
        <f>IF(DAY(AprSun1)=1,IF(AND(YEAR(AprSun1+5)=CalendarYear,MONTH(AprSun1+5)=4),AprSun1+5,""),IF(AND(YEAR(AprSun1+12)=CalendarYear,MONTH(AprSun1+12)=4),AprSun1+12,""))</f>
        <v>43930</v>
      </c>
      <c r="O23" s="14">
        <f>IF(DAY(AprSun1)=1,IF(AND(YEAR(AprSun1+6)=CalendarYear,MONTH(AprSun1+6)=4),AprSun1+6,""),IF(AND(YEAR(AprSun1+13)=CalendarYear,MONTH(AprSun1+13)=4),AprSun1+13,""))</f>
        <v>43931</v>
      </c>
      <c r="P23" s="14">
        <f>IF(DAY(AprSun1)=1,IF(AND(YEAR(AprSun1+7)=CalendarYear,MONTH(AprSun1+7)=4),AprSun1+7,""),IF(AND(YEAR(AprSun1+14)=CalendarYear,MONTH(AprSun1+14)=4),AprSun1+14,""))</f>
        <v>43932</v>
      </c>
      <c r="Q23" s="14">
        <f>IF(DAY(AprSun1)=1,IF(AND(YEAR(AprSun1+8)=CalendarYear,MONTH(AprSun1+8)=4),AprSun1+8,""),IF(AND(YEAR(AprSun1+15)=CalendarYear,MONTH(AprSun1+15)=4),AprSun1+15,""))</f>
        <v>43933</v>
      </c>
      <c r="R23" s="14">
        <f>IF(DAY(AprSun1)=1,IF(AND(YEAR(AprSun1+9)=CalendarYear,MONTH(AprSun1+9)=4),AprSun1+9,""),IF(AND(YEAR(AprSun1+16)=CalendarYear,MONTH(AprSun1+16)=4),AprSun1+16,""))</f>
        <v>43934</v>
      </c>
      <c r="S23" s="14">
        <f>IF(DAY(AprSun1)=1,IF(AND(YEAR(AprSun1+10)=CalendarYear,MONTH(AprSun1+10)=4),AprSun1+10,""),IF(AND(YEAR(AprSun1+17)=CalendarYear,MONTH(AprSun1+17)=4),AprSun1+17,""))</f>
        <v>43935</v>
      </c>
      <c r="T23" s="14">
        <f>IF(DAY(AprSun1)=1,IF(AND(YEAR(AprSun1+11)=CalendarYear,MONTH(AprSun1+11)=4),AprSun1+11,""),IF(AND(YEAR(AprSun1+18)=CalendarYear,MONTH(AprSun1+18)=4),AprSun1+18,""))</f>
        <v>43936</v>
      </c>
      <c r="U23" s="14">
        <f>IF(DAY(AprSun1)=1,IF(AND(YEAR(AprSun1+12)=CalendarYear,MONTH(AprSun1+12)=4),AprSun1+12,""),IF(AND(YEAR(AprSun1+19)=CalendarYear,MONTH(AprSun1+19)=4),AprSun1+19,""))</f>
        <v>43937</v>
      </c>
      <c r="V23" s="14">
        <f>IF(DAY(AprSun1)=1,IF(AND(YEAR(AprSun1+13)=CalendarYear,MONTH(AprSun1+13)=4),AprSun1+13,""),IF(AND(YEAR(AprSun1+20)=CalendarYear,MONTH(AprSun1+20)=4),AprSun1+20,""))</f>
        <v>43938</v>
      </c>
      <c r="W23" s="14">
        <f>IF(DAY(AprSun1)=1,IF(AND(YEAR(AprSun1+14)=CalendarYear,MONTH(AprSun1+14)=4),AprSun1+14,""),IF(AND(YEAR(AprSun1+21)=CalendarYear,MONTH(AprSun1+21)=4),AprSun1+21,""))</f>
        <v>43939</v>
      </c>
      <c r="X23" s="14">
        <f>IF(DAY(AprSun1)=1,IF(AND(YEAR(AprSun1+15)=CalendarYear,MONTH(AprSun1+15)=4),AprSun1+15,""),IF(AND(YEAR(AprSun1+22)=CalendarYear,MONTH(AprSun1+22)=4),AprSun1+22,""))</f>
        <v>43940</v>
      </c>
      <c r="Y23" s="14">
        <f>IF(DAY(AprSun1)=1,IF(AND(YEAR(AprSun1+16)=CalendarYear,MONTH(AprSun1+16)=4),AprSun1+16,""),IF(AND(YEAR(AprSun1+23)=CalendarYear,MONTH(AprSun1+23)=4),AprSun1+23,""))</f>
        <v>43941</v>
      </c>
      <c r="Z23" s="14">
        <f>IF(DAY(AprSun1)=1,IF(AND(YEAR(AprSun1+17)=CalendarYear,MONTH(AprSun1+17)=4),AprSun1+17,""),IF(AND(YEAR(AprSun1+24)=CalendarYear,MONTH(AprSun1+24)=4),AprSun1+24,""))</f>
        <v>43942</v>
      </c>
      <c r="AA23" s="14">
        <f>IF(DAY(AprSun1)=1,IF(AND(YEAR(AprSun1+18)=CalendarYear,MONTH(AprSun1+18)=4),AprSun1+18,""),IF(AND(YEAR(AprSun1+25)=CalendarYear,MONTH(AprSun1+25)=4),AprSun1+25,""))</f>
        <v>43943</v>
      </c>
      <c r="AB23" s="14">
        <f>IF(DAY(AprSun1)=1,IF(AND(YEAR(AprSun1+19)=CalendarYear,MONTH(AprSun1+19)=4),AprSun1+19,""),IF(AND(YEAR(AprSun1+26)=CalendarYear,MONTH(AprSun1+26)=4),AprSun1+26,""))</f>
        <v>43944</v>
      </c>
      <c r="AC23" s="14">
        <f>IF(DAY(AprSun1)=1,IF(AND(YEAR(AprSun1+20)=CalendarYear,MONTH(AprSun1+20)=4),AprSun1+20,""),IF(AND(YEAR(AprSun1+27)=CalendarYear,MONTH(AprSun1+27)=4),AprSun1+27,""))</f>
        <v>43945</v>
      </c>
      <c r="AD23" s="14">
        <f>IF(DAY(AprSun1)=1,IF(AND(YEAR(AprSun1+21)=CalendarYear,MONTH(AprSun1+21)=4),AprSun1+21,""),IF(AND(YEAR(AprSun1+28)=CalendarYear,MONTH(AprSun1+28)=4),AprSun1+28,""))</f>
        <v>43946</v>
      </c>
      <c r="AE23" s="14">
        <f>IF(DAY(AprSun1)=1,IF(AND(YEAR(AprSun1+22)=CalendarYear,MONTH(AprSun1+22)=4),AprSun1+22,""),IF(AND(YEAR(AprSun1+29)=CalendarYear,MONTH(AprSun1+29)=4),AprSun1+29,""))</f>
        <v>43947</v>
      </c>
      <c r="AF23" s="14">
        <f>IF(DAY(AprSun1)=1,IF(AND(YEAR(AprSun1+23)=CalendarYear,MONTH(AprSun1+23)=4),AprSun1+23,""),IF(AND(YEAR(AprSun1+30)=CalendarYear,MONTH(AprSun1+30)=4),AprSun1+30,""))</f>
        <v>43948</v>
      </c>
      <c r="AG23" s="14">
        <f>IF(DAY(AprSun1)=1,IF(AND(YEAR(AprSun1+24)=CalendarYear,MONTH(AprSun1+24)=4),AprSun1+24,""),IF(AND(YEAR(AprSun1+31)=CalendarYear,MONTH(AprSun1+31)=4),AprSun1+31,""))</f>
        <v>43949</v>
      </c>
      <c r="AH23" s="14">
        <f>IF(DAY(AprSun1)=1,IF(AND(YEAR(AprSun1+25)=CalendarYear,MONTH(AprSun1+25)=4),AprSun1+25,""),IF(AND(YEAR(AprSun1+32)=CalendarYear,MONTH(AprSun1+32)=4),AprSun1+32,""))</f>
        <v>43950</v>
      </c>
      <c r="AI23" s="14">
        <f>IF(DAY(AprSun1)=1,IF(AND(YEAR(AprSun1+26)=CalendarYear,MONTH(AprSun1+26)=4),AprSun1+26,""),IF(AND(YEAR(AprSun1+33)=CalendarYear,MONTH(AprSun1+33)=4),AprSun1+33,""))</f>
        <v>43951</v>
      </c>
      <c r="AJ23" s="14" t="str">
        <f>IF(DAY(AprSun1)=1,IF(AND(YEAR(AprSun1+27)=CalendarYear,MONTH(AprSun1+27)=4),AprSun1+27,""),IF(AND(YEAR(AprSun1+34)=CalendarYear,MONTH(AprSun1+34)=4),AprSun1+34,""))</f>
        <v/>
      </c>
      <c r="AK23" s="14" t="str">
        <f>IF(DAY(AprSun1)=1,IF(AND(YEAR(AprSun1+28)=CalendarYear,MONTH(AprSun1+28)=4),AprSun1+28,""),IF(AND(YEAR(AprSun1+35)=CalendarYear,MONTH(AprSun1+35)=4),AprSun1+35,""))</f>
        <v/>
      </c>
      <c r="AL23" s="14" t="str">
        <f>IF(DAY(AprSun1)=1,IF(AND(YEAR(AprSun1+29)=CalendarYear,MONTH(AprSun1+29)=4),AprSun1+29,""),IF(AND(YEAR(AprSun1+36)=CalendarYear,MONTH(AprSun1+36)=4),AprSun1+36,""))</f>
        <v/>
      </c>
      <c r="AM23" s="15" t="str">
        <f>IF(DAY(AprSun1)=1,IF(AND(YEAR(AprSun1+30)=CalendarYear,MONTH(AprSun1+30)=4),AprSun1+30,""),IF(AND(YEAR(AprSun1+37)=CalendarYear,MONTH(AprSun1+37)=4),AprSun1+37,""))</f>
        <v/>
      </c>
    </row>
    <row r="24" spans="2:39" s="16" customFormat="1" ht="18.95" customHeight="1" x14ac:dyDescent="0.3">
      <c r="B24" s="17"/>
      <c r="C24" s="18" t="s">
        <v>1</v>
      </c>
      <c r="D24" s="18" t="s">
        <v>2</v>
      </c>
      <c r="E24" s="18" t="s">
        <v>3</v>
      </c>
      <c r="F24" s="18" t="s">
        <v>4</v>
      </c>
      <c r="G24" s="18" t="s">
        <v>5</v>
      </c>
      <c r="H24" s="18" t="s">
        <v>6</v>
      </c>
      <c r="I24" s="18" t="s">
        <v>7</v>
      </c>
      <c r="J24" s="18" t="s">
        <v>1</v>
      </c>
      <c r="K24" s="18" t="s">
        <v>2</v>
      </c>
      <c r="L24" s="18" t="s">
        <v>3</v>
      </c>
      <c r="M24" s="18" t="s">
        <v>4</v>
      </c>
      <c r="N24" s="18" t="s">
        <v>5</v>
      </c>
      <c r="O24" s="18" t="s">
        <v>6</v>
      </c>
      <c r="P24" s="18" t="s">
        <v>7</v>
      </c>
      <c r="Q24" s="18" t="s">
        <v>1</v>
      </c>
      <c r="R24" s="18" t="s">
        <v>2</v>
      </c>
      <c r="S24" s="18" t="s">
        <v>3</v>
      </c>
      <c r="T24" s="18" t="s">
        <v>4</v>
      </c>
      <c r="U24" s="18" t="s">
        <v>5</v>
      </c>
      <c r="V24" s="18" t="s">
        <v>6</v>
      </c>
      <c r="W24" s="18" t="s">
        <v>7</v>
      </c>
      <c r="X24" s="18" t="s">
        <v>1</v>
      </c>
      <c r="Y24" s="18" t="s">
        <v>2</v>
      </c>
      <c r="Z24" s="18" t="s">
        <v>3</v>
      </c>
      <c r="AA24" s="18" t="s">
        <v>4</v>
      </c>
      <c r="AB24" s="18" t="s">
        <v>5</v>
      </c>
      <c r="AC24" s="18" t="s">
        <v>6</v>
      </c>
      <c r="AD24" s="18" t="s">
        <v>7</v>
      </c>
      <c r="AE24" s="18" t="s">
        <v>1</v>
      </c>
      <c r="AF24" s="18" t="s">
        <v>2</v>
      </c>
      <c r="AG24" s="18" t="s">
        <v>3</v>
      </c>
      <c r="AH24" s="18" t="s">
        <v>4</v>
      </c>
      <c r="AI24" s="18" t="s">
        <v>5</v>
      </c>
      <c r="AJ24" s="18" t="s">
        <v>6</v>
      </c>
      <c r="AK24" s="18" t="s">
        <v>7</v>
      </c>
      <c r="AL24" s="18" t="s">
        <v>1</v>
      </c>
      <c r="AM24" s="19" t="s">
        <v>2</v>
      </c>
    </row>
    <row r="25" spans="2:39" ht="18.95" customHeight="1" x14ac:dyDescent="0.3">
      <c r="B25" s="20" t="str">
        <f>IF(Job1_Name="","",Job1_Name)</f>
        <v>Job 1</v>
      </c>
      <c r="C25" s="21" t="str">
        <f t="shared" ref="C25:AM25" si="9">IF(OR(NOT(ISNUMBER(C23)),C23&lt;Job1_StartDate),"",IF(MID(Job1_Pattern,MOD(C23-Job1_StartDate,LEN(Job1_Pattern))+1,1)=Job1_Shift1_Code,1,IF(MID(Job1_Pattern,MOD(C23-Job1_StartDate,LEN(Job1_Pattern))+1,1)=Job1_Shift2_Code,2,IF(MID(Job1_Pattern,MOD(C23-Job1_StartDate,LEN(Job1_Pattern))+1,1)=Job1_Shift3_Code,3,""))))</f>
        <v/>
      </c>
      <c r="D25" s="21" t="str">
        <f t="shared" si="9"/>
        <v/>
      </c>
      <c r="E25" s="21" t="str">
        <f t="shared" si="9"/>
        <v/>
      </c>
      <c r="F25" s="21" t="str">
        <f t="shared" si="9"/>
        <v/>
      </c>
      <c r="G25" s="21" t="str">
        <f t="shared" si="9"/>
        <v/>
      </c>
      <c r="H25" s="21" t="str">
        <f t="shared" si="9"/>
        <v/>
      </c>
      <c r="I25" s="21">
        <f t="shared" si="9"/>
        <v>1</v>
      </c>
      <c r="J25" s="21">
        <f t="shared" si="9"/>
        <v>1</v>
      </c>
      <c r="K25" s="21">
        <f t="shared" si="9"/>
        <v>1</v>
      </c>
      <c r="L25" s="21">
        <f t="shared" si="9"/>
        <v>1</v>
      </c>
      <c r="M25" s="21" t="str">
        <f t="shared" si="9"/>
        <v/>
      </c>
      <c r="N25" s="21" t="str">
        <f t="shared" si="9"/>
        <v/>
      </c>
      <c r="O25" s="21">
        <f t="shared" si="9"/>
        <v>2</v>
      </c>
      <c r="P25" s="21">
        <f t="shared" si="9"/>
        <v>2</v>
      </c>
      <c r="Q25" s="21">
        <f t="shared" si="9"/>
        <v>2</v>
      </c>
      <c r="R25" s="21">
        <f t="shared" si="9"/>
        <v>2</v>
      </c>
      <c r="S25" s="21" t="str">
        <f t="shared" si="9"/>
        <v/>
      </c>
      <c r="T25" s="21" t="str">
        <f t="shared" si="9"/>
        <v/>
      </c>
      <c r="U25" s="21">
        <f t="shared" si="9"/>
        <v>1</v>
      </c>
      <c r="V25" s="21">
        <f t="shared" si="9"/>
        <v>1</v>
      </c>
      <c r="W25" s="21">
        <f t="shared" si="9"/>
        <v>1</v>
      </c>
      <c r="X25" s="21" t="str">
        <f t="shared" si="9"/>
        <v/>
      </c>
      <c r="Y25" s="21">
        <f t="shared" si="9"/>
        <v>2</v>
      </c>
      <c r="Z25" s="21">
        <f t="shared" si="9"/>
        <v>2</v>
      </c>
      <c r="AA25" s="21">
        <f t="shared" si="9"/>
        <v>2</v>
      </c>
      <c r="AB25" s="21" t="str">
        <f t="shared" si="9"/>
        <v/>
      </c>
      <c r="AC25" s="21" t="str">
        <f t="shared" si="9"/>
        <v/>
      </c>
      <c r="AD25" s="21" t="str">
        <f t="shared" si="9"/>
        <v/>
      </c>
      <c r="AE25" s="21">
        <f t="shared" si="9"/>
        <v>1</v>
      </c>
      <c r="AF25" s="21">
        <f t="shared" si="9"/>
        <v>1</v>
      </c>
      <c r="AG25" s="21" t="str">
        <f t="shared" si="9"/>
        <v/>
      </c>
      <c r="AH25" s="21">
        <f t="shared" si="9"/>
        <v>2</v>
      </c>
      <c r="AI25" s="21">
        <f t="shared" si="9"/>
        <v>2</v>
      </c>
      <c r="AJ25" s="21" t="str">
        <f t="shared" si="9"/>
        <v/>
      </c>
      <c r="AK25" s="21" t="str">
        <f t="shared" si="9"/>
        <v/>
      </c>
      <c r="AL25" s="21" t="str">
        <f t="shared" si="9"/>
        <v/>
      </c>
      <c r="AM25" s="21" t="str">
        <f t="shared" si="9"/>
        <v/>
      </c>
    </row>
    <row r="26" spans="2:39" ht="18.95" customHeight="1" x14ac:dyDescent="0.3">
      <c r="B26" s="22" t="str">
        <f>IF(Job2_Name="","",Job2_Name)</f>
        <v>Job 2</v>
      </c>
      <c r="C26" s="23" t="str">
        <f t="shared" ref="C26:AM26" si="10">IF(OR(NOT(ISNUMBER(C23)),C23&lt;Job2_StartDate),"",IF(MID(Job2_Pattern,MOD(C23-Job2_StartDate,LEN(Job2_Pattern))+1,1)=Job2_Shift1_Code,1,IF(MID(Job2_Pattern,MOD(C23-Job2_StartDate,LEN(Job2_Pattern))+1,1)=Job2_Shift2_Code,2,IF(MID(Job2_Pattern,MOD(C23-Job2_StartDate,LEN(Job2_Pattern))+1,1)=Job2_Shift3_Code,3,""))))</f>
        <v/>
      </c>
      <c r="D26" s="23" t="str">
        <f t="shared" si="10"/>
        <v/>
      </c>
      <c r="E26" s="23" t="str">
        <f t="shared" si="10"/>
        <v/>
      </c>
      <c r="F26" s="23">
        <f t="shared" si="10"/>
        <v>1</v>
      </c>
      <c r="G26" s="23">
        <f t="shared" si="10"/>
        <v>1</v>
      </c>
      <c r="H26" s="23" t="str">
        <f t="shared" si="10"/>
        <v/>
      </c>
      <c r="I26" s="23" t="str">
        <f t="shared" si="10"/>
        <v/>
      </c>
      <c r="J26" s="23" t="str">
        <f t="shared" si="10"/>
        <v/>
      </c>
      <c r="K26" s="23">
        <f t="shared" si="10"/>
        <v>2</v>
      </c>
      <c r="L26" s="23">
        <f t="shared" si="10"/>
        <v>2</v>
      </c>
      <c r="M26" s="23" t="str">
        <f t="shared" si="10"/>
        <v/>
      </c>
      <c r="N26" s="23">
        <f t="shared" si="10"/>
        <v>1</v>
      </c>
      <c r="O26" s="23">
        <f t="shared" si="10"/>
        <v>1</v>
      </c>
      <c r="P26" s="23" t="str">
        <f t="shared" si="10"/>
        <v/>
      </c>
      <c r="Q26" s="23" t="str">
        <f t="shared" si="10"/>
        <v/>
      </c>
      <c r="R26" s="23" t="str">
        <f t="shared" si="10"/>
        <v/>
      </c>
      <c r="S26" s="23">
        <f t="shared" si="10"/>
        <v>2</v>
      </c>
      <c r="T26" s="23">
        <f t="shared" si="10"/>
        <v>2</v>
      </c>
      <c r="U26" s="23">
        <f t="shared" si="10"/>
        <v>2</v>
      </c>
      <c r="V26" s="23">
        <f t="shared" si="10"/>
        <v>2</v>
      </c>
      <c r="W26" s="23" t="str">
        <f t="shared" si="10"/>
        <v/>
      </c>
      <c r="X26" s="23" t="str">
        <f t="shared" si="10"/>
        <v/>
      </c>
      <c r="Y26" s="23" t="str">
        <f t="shared" si="10"/>
        <v/>
      </c>
      <c r="Z26" s="23" t="str">
        <f t="shared" si="10"/>
        <v/>
      </c>
      <c r="AA26" s="23" t="str">
        <f t="shared" si="10"/>
        <v/>
      </c>
      <c r="AB26" s="23">
        <f t="shared" si="10"/>
        <v>1</v>
      </c>
      <c r="AC26" s="23" t="str">
        <f t="shared" si="10"/>
        <v/>
      </c>
      <c r="AD26" s="23" t="str">
        <f t="shared" si="10"/>
        <v/>
      </c>
      <c r="AE26" s="23">
        <f t="shared" si="10"/>
        <v>2</v>
      </c>
      <c r="AF26" s="23">
        <f t="shared" si="10"/>
        <v>2</v>
      </c>
      <c r="AG26" s="23">
        <f t="shared" si="10"/>
        <v>2</v>
      </c>
      <c r="AH26" s="23" t="str">
        <f t="shared" si="10"/>
        <v/>
      </c>
      <c r="AI26" s="23" t="str">
        <f t="shared" si="10"/>
        <v/>
      </c>
      <c r="AJ26" s="23" t="str">
        <f t="shared" si="10"/>
        <v/>
      </c>
      <c r="AK26" s="23" t="str">
        <f t="shared" si="10"/>
        <v/>
      </c>
      <c r="AL26" s="23" t="str">
        <f t="shared" si="10"/>
        <v/>
      </c>
      <c r="AM26" s="23" t="str">
        <f t="shared" si="10"/>
        <v/>
      </c>
    </row>
    <row r="27" spans="2:39" ht="18.95" customHeight="1" x14ac:dyDescent="0.3">
      <c r="B27" s="22" t="str">
        <f>IF(Job3_Name="","",Job3_Name)</f>
        <v>Job 3</v>
      </c>
      <c r="C27" s="23" t="str">
        <f t="shared" ref="C27:AM27" si="11">IF(OR(NOT(ISNUMBER(C23)),C23&lt;Job3_StartDate),"",IF(MID(Job3_Pattern,MOD(C23-Job3_StartDate,LEN(Job3_Pattern))+1,1)=Job3_Shift1_Code,1,IF(MID(Job3_Pattern,MOD(C23-Job3_StartDate,LEN(Job3_Pattern))+1,1)=Job3_Shift2_Code,2,IF(MID(Job3_Pattern,MOD(C23-Job3_StartDate,LEN(Job3_Pattern))+1,1)=Job3_Shift3_Code,3,""))))</f>
        <v/>
      </c>
      <c r="D27" s="23" t="str">
        <f t="shared" si="11"/>
        <v/>
      </c>
      <c r="E27" s="23" t="str">
        <f t="shared" si="11"/>
        <v/>
      </c>
      <c r="F27" s="23">
        <f t="shared" si="11"/>
        <v>3</v>
      </c>
      <c r="G27" s="23">
        <f t="shared" si="11"/>
        <v>3</v>
      </c>
      <c r="H27" s="23" t="str">
        <f t="shared" si="11"/>
        <v/>
      </c>
      <c r="I27" s="23" t="str">
        <f t="shared" si="11"/>
        <v/>
      </c>
      <c r="J27" s="23" t="str">
        <f t="shared" si="11"/>
        <v/>
      </c>
      <c r="K27" s="23">
        <f t="shared" si="11"/>
        <v>3</v>
      </c>
      <c r="L27" s="23" t="str">
        <f t="shared" si="11"/>
        <v/>
      </c>
      <c r="M27" s="23" t="str">
        <f t="shared" si="11"/>
        <v/>
      </c>
      <c r="N27" s="23" t="str">
        <f t="shared" si="11"/>
        <v/>
      </c>
      <c r="O27" s="23" t="str">
        <f t="shared" si="11"/>
        <v/>
      </c>
      <c r="P27" s="23" t="str">
        <f t="shared" si="11"/>
        <v/>
      </c>
      <c r="Q27" s="23" t="str">
        <f t="shared" si="11"/>
        <v/>
      </c>
      <c r="R27" s="23">
        <f t="shared" si="11"/>
        <v>3</v>
      </c>
      <c r="S27" s="23">
        <f t="shared" si="11"/>
        <v>3</v>
      </c>
      <c r="T27" s="23" t="str">
        <f t="shared" si="11"/>
        <v/>
      </c>
      <c r="U27" s="23" t="str">
        <f t="shared" si="11"/>
        <v/>
      </c>
      <c r="V27" s="23" t="str">
        <f t="shared" si="11"/>
        <v/>
      </c>
      <c r="W27" s="23">
        <f t="shared" si="11"/>
        <v>3</v>
      </c>
      <c r="X27" s="23">
        <f t="shared" si="11"/>
        <v>3</v>
      </c>
      <c r="Y27" s="23" t="str">
        <f t="shared" si="11"/>
        <v/>
      </c>
      <c r="Z27" s="23" t="str">
        <f t="shared" si="11"/>
        <v/>
      </c>
      <c r="AA27" s="23" t="str">
        <f t="shared" si="11"/>
        <v/>
      </c>
      <c r="AB27" s="23" t="str">
        <f t="shared" si="11"/>
        <v/>
      </c>
      <c r="AC27" s="23">
        <f t="shared" si="11"/>
        <v>3</v>
      </c>
      <c r="AD27" s="23">
        <f t="shared" si="11"/>
        <v>3</v>
      </c>
      <c r="AE27" s="23" t="str">
        <f t="shared" si="11"/>
        <v/>
      </c>
      <c r="AF27" s="23" t="str">
        <f t="shared" si="11"/>
        <v/>
      </c>
      <c r="AG27" s="23" t="str">
        <f t="shared" si="11"/>
        <v/>
      </c>
      <c r="AH27" s="23" t="str">
        <f t="shared" si="11"/>
        <v/>
      </c>
      <c r="AI27" s="23">
        <f t="shared" si="11"/>
        <v>3</v>
      </c>
      <c r="AJ27" s="23" t="str">
        <f t="shared" si="11"/>
        <v/>
      </c>
      <c r="AK27" s="23" t="str">
        <f t="shared" si="11"/>
        <v/>
      </c>
      <c r="AL27" s="23" t="str">
        <f t="shared" si="11"/>
        <v/>
      </c>
      <c r="AM27" s="23" t="str">
        <f t="shared" si="11"/>
        <v/>
      </c>
    </row>
    <row r="28" spans="2:39" ht="12" customHeight="1" x14ac:dyDescent="0.3"/>
    <row r="29" spans="2:39" s="16" customFormat="1" ht="18.95" customHeight="1" x14ac:dyDescent="0.3">
      <c r="B29" s="13">
        <f>DATE(CalendarYear,5,1)</f>
        <v>43952</v>
      </c>
      <c r="C29" s="14" t="str">
        <f>IF(DAY(MaySun1)=1,"",IF(AND(YEAR(MaySun1+1)=CalendarYear,MONTH(MaySun1+1)=5),MaySun1+1,""))</f>
        <v/>
      </c>
      <c r="D29" s="14" t="str">
        <f>IF(DAY(MaySun1)=1,"",IF(AND(YEAR(MaySun1+2)=CalendarYear,MONTH(MaySun1+2)=5),MaySun1+2,""))</f>
        <v/>
      </c>
      <c r="E29" s="14" t="str">
        <f>IF(DAY(MaySun1)=1,"",IF(AND(YEAR(MaySun1+3)=CalendarYear,MONTH(MaySun1+3)=5),MaySun1+3,""))</f>
        <v/>
      </c>
      <c r="F29" s="14" t="str">
        <f>IF(DAY(MaySun1)=1,"",IF(AND(YEAR(MaySun1+4)=CalendarYear,MONTH(MaySun1+4)=5),MaySun1+4,""))</f>
        <v/>
      </c>
      <c r="G29" s="14" t="str">
        <f>IF(DAY(MaySun1)=1,"",IF(AND(YEAR(MaySun1+5)=CalendarYear,MONTH(MaySun1+5)=5),MaySun1+5,""))</f>
        <v/>
      </c>
      <c r="H29" s="14">
        <f>IF(DAY(MaySun1)=1,"",IF(AND(YEAR(MaySun1+6)=CalendarYear,MONTH(MaySun1+6)=5),MaySun1+6,""))</f>
        <v>43952</v>
      </c>
      <c r="I29" s="14">
        <f>IF(DAY(MaySun1)=1,IF(AND(YEAR(MaySun1)=CalendarYear,MONTH(MaySun1)=5),MaySun1,""),IF(AND(YEAR(MaySun1+7)=CalendarYear,MONTH(MaySun1+7)=5),MaySun1+7,""))</f>
        <v>43953</v>
      </c>
      <c r="J29" s="14">
        <f>IF(DAY(MaySun1)=1,IF(AND(YEAR(MaySun1+1)=CalendarYear,MONTH(MaySun1+1)=5),MaySun1+1,""),IF(AND(YEAR(MaySun1+8)=CalendarYear,MONTH(MaySun1+8)=5),MaySun1+8,""))</f>
        <v>43954</v>
      </c>
      <c r="K29" s="14">
        <f>IF(DAY(MaySun1)=1,IF(AND(YEAR(MaySun1+2)=CalendarYear,MONTH(MaySun1+2)=5),MaySun1+2,""),IF(AND(YEAR(MaySun1+9)=CalendarYear,MONTH(MaySun1+9)=5),MaySun1+9,""))</f>
        <v>43955</v>
      </c>
      <c r="L29" s="14">
        <f>IF(DAY(MaySun1)=1,IF(AND(YEAR(MaySun1+3)=CalendarYear,MONTH(MaySun1+3)=5),MaySun1+3,""),IF(AND(YEAR(MaySun1+10)=CalendarYear,MONTH(MaySun1+10)=5),MaySun1+10,""))</f>
        <v>43956</v>
      </c>
      <c r="M29" s="14">
        <f>IF(DAY(MaySun1)=1,IF(AND(YEAR(MaySun1+4)=CalendarYear,MONTH(MaySun1+4)=5),MaySun1+4,""),IF(AND(YEAR(MaySun1+11)=CalendarYear,MONTH(MaySun1+11)=5),MaySun1+11,""))</f>
        <v>43957</v>
      </c>
      <c r="N29" s="14">
        <f>IF(DAY(MaySun1)=1,IF(AND(YEAR(MaySun1+5)=CalendarYear,MONTH(MaySun1+5)=5),MaySun1+5,""),IF(AND(YEAR(MaySun1+12)=CalendarYear,MONTH(MaySun1+12)=5),MaySun1+12,""))</f>
        <v>43958</v>
      </c>
      <c r="O29" s="14">
        <f>IF(DAY(MaySun1)=1,IF(AND(YEAR(MaySun1+6)=CalendarYear,MONTH(MaySun1+6)=5),MaySun1+6,""),IF(AND(YEAR(MaySun1+13)=CalendarYear,MONTH(MaySun1+13)=5),MaySun1+13,""))</f>
        <v>43959</v>
      </c>
      <c r="P29" s="14">
        <f>IF(DAY(MaySun1)=1,IF(AND(YEAR(MaySun1+7)=CalendarYear,MONTH(MaySun1+7)=5),MaySun1+7,""),IF(AND(YEAR(MaySun1+14)=CalendarYear,MONTH(MaySun1+14)=5),MaySun1+14,""))</f>
        <v>43960</v>
      </c>
      <c r="Q29" s="14">
        <f>IF(DAY(MaySun1)=1,IF(AND(YEAR(MaySun1+8)=CalendarYear,MONTH(MaySun1+8)=5),MaySun1+8,""),IF(AND(YEAR(MaySun1+15)=CalendarYear,MONTH(MaySun1+15)=5),MaySun1+15,""))</f>
        <v>43961</v>
      </c>
      <c r="R29" s="14">
        <f>IF(DAY(MaySun1)=1,IF(AND(YEAR(MaySun1+9)=CalendarYear,MONTH(MaySun1+9)=5),MaySun1+9,""),IF(AND(YEAR(MaySun1+16)=CalendarYear,MONTH(MaySun1+16)=5),MaySun1+16,""))</f>
        <v>43962</v>
      </c>
      <c r="S29" s="14">
        <f>IF(DAY(MaySun1)=1,IF(AND(YEAR(MaySun1+10)=CalendarYear,MONTH(MaySun1+10)=5),MaySun1+10,""),IF(AND(YEAR(MaySun1+17)=CalendarYear,MONTH(MaySun1+17)=5),MaySun1+17,""))</f>
        <v>43963</v>
      </c>
      <c r="T29" s="14">
        <f>IF(DAY(MaySun1)=1,IF(AND(YEAR(MaySun1+11)=CalendarYear,MONTH(MaySun1+11)=5),MaySun1+11,""),IF(AND(YEAR(MaySun1+18)=CalendarYear,MONTH(MaySun1+18)=5),MaySun1+18,""))</f>
        <v>43964</v>
      </c>
      <c r="U29" s="14">
        <f>IF(DAY(MaySun1)=1,IF(AND(YEAR(MaySun1+12)=CalendarYear,MONTH(MaySun1+12)=5),MaySun1+12,""),IF(AND(YEAR(MaySun1+19)=CalendarYear,MONTH(MaySun1+19)=5),MaySun1+19,""))</f>
        <v>43965</v>
      </c>
      <c r="V29" s="14">
        <f>IF(DAY(MaySun1)=1,IF(AND(YEAR(MaySun1+13)=CalendarYear,MONTH(MaySun1+13)=5),MaySun1+13,""),IF(AND(YEAR(MaySun1+20)=CalendarYear,MONTH(MaySun1+20)=5),MaySun1+20,""))</f>
        <v>43966</v>
      </c>
      <c r="W29" s="14">
        <f>IF(DAY(MaySun1)=1,IF(AND(YEAR(MaySun1+14)=CalendarYear,MONTH(MaySun1+14)=5),MaySun1+14,""),IF(AND(YEAR(MaySun1+21)=CalendarYear,MONTH(MaySun1+21)=5),MaySun1+21,""))</f>
        <v>43967</v>
      </c>
      <c r="X29" s="14">
        <f>IF(DAY(MaySun1)=1,IF(AND(YEAR(MaySun1+15)=CalendarYear,MONTH(MaySun1+15)=5),MaySun1+15,""),IF(AND(YEAR(MaySun1+22)=CalendarYear,MONTH(MaySun1+22)=5),MaySun1+22,""))</f>
        <v>43968</v>
      </c>
      <c r="Y29" s="14">
        <f>IF(DAY(MaySun1)=1,IF(AND(YEAR(MaySun1+16)=CalendarYear,MONTH(MaySun1+16)=5),MaySun1+16,""),IF(AND(YEAR(MaySun1+23)=CalendarYear,MONTH(MaySun1+23)=5),MaySun1+23,""))</f>
        <v>43969</v>
      </c>
      <c r="Z29" s="14">
        <f>IF(DAY(MaySun1)=1,IF(AND(YEAR(MaySun1+17)=CalendarYear,MONTH(MaySun1+17)=5),MaySun1+17,""),IF(AND(YEAR(MaySun1+24)=CalendarYear,MONTH(MaySun1+24)=5),MaySun1+24,""))</f>
        <v>43970</v>
      </c>
      <c r="AA29" s="14">
        <f>IF(DAY(MaySun1)=1,IF(AND(YEAR(MaySun1+18)=CalendarYear,MONTH(MaySun1+18)=5),MaySun1+18,""),IF(AND(YEAR(MaySun1+25)=CalendarYear,MONTH(MaySun1+25)=5),MaySun1+25,""))</f>
        <v>43971</v>
      </c>
      <c r="AB29" s="14">
        <f>IF(DAY(MaySun1)=1,IF(AND(YEAR(MaySun1+19)=CalendarYear,MONTH(MaySun1+19)=5),MaySun1+19,""),IF(AND(YEAR(MaySun1+26)=CalendarYear,MONTH(MaySun1+26)=5),MaySun1+26,""))</f>
        <v>43972</v>
      </c>
      <c r="AC29" s="14">
        <f>IF(DAY(MaySun1)=1,IF(AND(YEAR(MaySun1+20)=CalendarYear,MONTH(MaySun1+20)=5),MaySun1+20,""),IF(AND(YEAR(MaySun1+27)=CalendarYear,MONTH(MaySun1+27)=5),MaySun1+27,""))</f>
        <v>43973</v>
      </c>
      <c r="AD29" s="14">
        <f>IF(DAY(MaySun1)=1,IF(AND(YEAR(MaySun1+21)=CalendarYear,MONTH(MaySun1+21)=5),MaySun1+21,""),IF(AND(YEAR(MaySun1+28)=CalendarYear,MONTH(MaySun1+28)=5),MaySun1+28,""))</f>
        <v>43974</v>
      </c>
      <c r="AE29" s="14">
        <f>IF(DAY(MaySun1)=1,IF(AND(YEAR(MaySun1+22)=CalendarYear,MONTH(MaySun1+22)=5),MaySun1+22,""),IF(AND(YEAR(MaySun1+29)=CalendarYear,MONTH(MaySun1+29)=5),MaySun1+29,""))</f>
        <v>43975</v>
      </c>
      <c r="AF29" s="14">
        <f>IF(DAY(MaySun1)=1,IF(AND(YEAR(MaySun1+23)=CalendarYear,MONTH(MaySun1+23)=5),MaySun1+23,""),IF(AND(YEAR(MaySun1+30)=CalendarYear,MONTH(MaySun1+30)=5),MaySun1+30,""))</f>
        <v>43976</v>
      </c>
      <c r="AG29" s="14">
        <f>IF(DAY(MaySun1)=1,IF(AND(YEAR(MaySun1+24)=CalendarYear,MONTH(MaySun1+24)=5),MaySun1+24,""),IF(AND(YEAR(MaySun1+31)=CalendarYear,MONTH(MaySun1+31)=5),MaySun1+31,""))</f>
        <v>43977</v>
      </c>
      <c r="AH29" s="14">
        <f>IF(DAY(MaySun1)=1,IF(AND(YEAR(MaySun1+25)=CalendarYear,MONTH(MaySun1+25)=5),MaySun1+25,""),IF(AND(YEAR(MaySun1+32)=CalendarYear,MONTH(MaySun1+32)=5),MaySun1+32,""))</f>
        <v>43978</v>
      </c>
      <c r="AI29" s="14">
        <f>IF(DAY(MaySun1)=1,IF(AND(YEAR(MaySun1+26)=CalendarYear,MONTH(MaySun1+26)=5),MaySun1+26,""),IF(AND(YEAR(MaySun1+33)=CalendarYear,MONTH(MaySun1+33)=5),MaySun1+33,""))</f>
        <v>43979</v>
      </c>
      <c r="AJ29" s="14">
        <f>IF(DAY(MaySun1)=1,IF(AND(YEAR(MaySun1+27)=CalendarYear,MONTH(MaySun1+27)=5),MaySun1+27,""),IF(AND(YEAR(MaySun1+34)=CalendarYear,MONTH(MaySun1+34)=5),MaySun1+34,""))</f>
        <v>43980</v>
      </c>
      <c r="AK29" s="14">
        <f>IF(DAY(MaySun1)=1,IF(AND(YEAR(MaySun1+28)=CalendarYear,MONTH(MaySun1+28)=5),MaySun1+28,""),IF(AND(YEAR(MaySun1+35)=CalendarYear,MONTH(MaySun1+35)=5),MaySun1+35,""))</f>
        <v>43981</v>
      </c>
      <c r="AL29" s="14">
        <f>IF(DAY(MaySun1)=1,IF(AND(YEAR(MaySun1+29)=CalendarYear,MONTH(MaySun1+29)=5),MaySun1+29,""),IF(AND(YEAR(MaySun1+36)=CalendarYear,MONTH(MaySun1+36)=5),MaySun1+36,""))</f>
        <v>43982</v>
      </c>
      <c r="AM29" s="15" t="str">
        <f>IF(DAY(MaySun1)=1,IF(AND(YEAR(MaySun1+30)=CalendarYear,MONTH(MaySun1+30)=5),MaySun1+30,""),IF(AND(YEAR(MaySun1+37)=CalendarYear,MONTH(MaySun1+37)=5),MaySun1+37,""))</f>
        <v/>
      </c>
    </row>
    <row r="30" spans="2:39" s="16" customFormat="1" ht="18.95" customHeight="1" x14ac:dyDescent="0.3">
      <c r="B30" s="17"/>
      <c r="C30" s="18" t="s">
        <v>1</v>
      </c>
      <c r="D30" s="18" t="s">
        <v>2</v>
      </c>
      <c r="E30" s="18" t="s">
        <v>3</v>
      </c>
      <c r="F30" s="18" t="s">
        <v>4</v>
      </c>
      <c r="G30" s="18" t="s">
        <v>5</v>
      </c>
      <c r="H30" s="18" t="s">
        <v>6</v>
      </c>
      <c r="I30" s="18" t="s">
        <v>7</v>
      </c>
      <c r="J30" s="18" t="s">
        <v>1</v>
      </c>
      <c r="K30" s="18" t="s">
        <v>2</v>
      </c>
      <c r="L30" s="18" t="s">
        <v>3</v>
      </c>
      <c r="M30" s="18" t="s">
        <v>4</v>
      </c>
      <c r="N30" s="18" t="s">
        <v>5</v>
      </c>
      <c r="O30" s="18" t="s">
        <v>6</v>
      </c>
      <c r="P30" s="18" t="s">
        <v>7</v>
      </c>
      <c r="Q30" s="18" t="s">
        <v>1</v>
      </c>
      <c r="R30" s="18" t="s">
        <v>2</v>
      </c>
      <c r="S30" s="18" t="s">
        <v>3</v>
      </c>
      <c r="T30" s="18" t="s">
        <v>4</v>
      </c>
      <c r="U30" s="18" t="s">
        <v>5</v>
      </c>
      <c r="V30" s="18" t="s">
        <v>6</v>
      </c>
      <c r="W30" s="18" t="s">
        <v>7</v>
      </c>
      <c r="X30" s="18" t="s">
        <v>1</v>
      </c>
      <c r="Y30" s="18" t="s">
        <v>2</v>
      </c>
      <c r="Z30" s="18" t="s">
        <v>3</v>
      </c>
      <c r="AA30" s="18" t="s">
        <v>4</v>
      </c>
      <c r="AB30" s="18" t="s">
        <v>5</v>
      </c>
      <c r="AC30" s="18" t="s">
        <v>6</v>
      </c>
      <c r="AD30" s="18" t="s">
        <v>7</v>
      </c>
      <c r="AE30" s="18" t="s">
        <v>1</v>
      </c>
      <c r="AF30" s="18" t="s">
        <v>2</v>
      </c>
      <c r="AG30" s="18" t="s">
        <v>3</v>
      </c>
      <c r="AH30" s="18" t="s">
        <v>4</v>
      </c>
      <c r="AI30" s="18" t="s">
        <v>5</v>
      </c>
      <c r="AJ30" s="18" t="s">
        <v>6</v>
      </c>
      <c r="AK30" s="18" t="s">
        <v>7</v>
      </c>
      <c r="AL30" s="18" t="s">
        <v>1</v>
      </c>
      <c r="AM30" s="19" t="s">
        <v>2</v>
      </c>
    </row>
    <row r="31" spans="2:39" ht="18.95" customHeight="1" x14ac:dyDescent="0.3">
      <c r="B31" s="20" t="str">
        <f>IF(Job1_Name="","",Job1_Name)</f>
        <v>Job 1</v>
      </c>
      <c r="C31" s="21" t="str">
        <f t="shared" ref="C31:AM31" si="12">IF(OR(NOT(ISNUMBER(C29)),C29&lt;Job1_StartDate),"",IF(MID(Job1_Pattern,MOD(C29-Job1_StartDate,LEN(Job1_Pattern))+1,1)=Job1_Shift1_Code,1,IF(MID(Job1_Pattern,MOD(C29-Job1_StartDate,LEN(Job1_Pattern))+1,1)=Job1_Shift2_Code,2,IF(MID(Job1_Pattern,MOD(C29-Job1_StartDate,LEN(Job1_Pattern))+1,1)=Job1_Shift3_Code,3,""))))</f>
        <v/>
      </c>
      <c r="D31" s="21" t="str">
        <f t="shared" si="12"/>
        <v/>
      </c>
      <c r="E31" s="21" t="str">
        <f t="shared" si="12"/>
        <v/>
      </c>
      <c r="F31" s="21" t="str">
        <f t="shared" si="12"/>
        <v/>
      </c>
      <c r="G31" s="21" t="str">
        <f t="shared" si="12"/>
        <v/>
      </c>
      <c r="H31" s="21" t="str">
        <f t="shared" si="12"/>
        <v/>
      </c>
      <c r="I31" s="21" t="str">
        <f t="shared" si="12"/>
        <v/>
      </c>
      <c r="J31" s="21" t="str">
        <f t="shared" si="12"/>
        <v/>
      </c>
      <c r="K31" s="21">
        <f t="shared" si="12"/>
        <v>1</v>
      </c>
      <c r="L31" s="21">
        <f t="shared" si="12"/>
        <v>1</v>
      </c>
      <c r="M31" s="21">
        <f t="shared" si="12"/>
        <v>1</v>
      </c>
      <c r="N31" s="21">
        <f t="shared" si="12"/>
        <v>1</v>
      </c>
      <c r="O31" s="21" t="str">
        <f t="shared" si="12"/>
        <v/>
      </c>
      <c r="P31" s="21" t="str">
        <f t="shared" si="12"/>
        <v/>
      </c>
      <c r="Q31" s="21">
        <f t="shared" si="12"/>
        <v>2</v>
      </c>
      <c r="R31" s="21">
        <f t="shared" si="12"/>
        <v>2</v>
      </c>
      <c r="S31" s="21">
        <f t="shared" si="12"/>
        <v>2</v>
      </c>
      <c r="T31" s="21">
        <f t="shared" si="12"/>
        <v>2</v>
      </c>
      <c r="U31" s="21" t="str">
        <f t="shared" si="12"/>
        <v/>
      </c>
      <c r="V31" s="21" t="str">
        <f t="shared" si="12"/>
        <v/>
      </c>
      <c r="W31" s="21">
        <f t="shared" si="12"/>
        <v>1</v>
      </c>
      <c r="X31" s="21">
        <f t="shared" si="12"/>
        <v>1</v>
      </c>
      <c r="Y31" s="21">
        <f t="shared" si="12"/>
        <v>1</v>
      </c>
      <c r="Z31" s="21" t="str">
        <f t="shared" si="12"/>
        <v/>
      </c>
      <c r="AA31" s="21">
        <f t="shared" si="12"/>
        <v>2</v>
      </c>
      <c r="AB31" s="21">
        <f t="shared" si="12"/>
        <v>2</v>
      </c>
      <c r="AC31" s="21">
        <f t="shared" si="12"/>
        <v>2</v>
      </c>
      <c r="AD31" s="21" t="str">
        <f t="shared" si="12"/>
        <v/>
      </c>
      <c r="AE31" s="21" t="str">
        <f t="shared" si="12"/>
        <v/>
      </c>
      <c r="AF31" s="21" t="str">
        <f t="shared" si="12"/>
        <v/>
      </c>
      <c r="AG31" s="21">
        <f t="shared" si="12"/>
        <v>1</v>
      </c>
      <c r="AH31" s="21">
        <f t="shared" si="12"/>
        <v>1</v>
      </c>
      <c r="AI31" s="21" t="str">
        <f t="shared" si="12"/>
        <v/>
      </c>
      <c r="AJ31" s="21">
        <f t="shared" si="12"/>
        <v>2</v>
      </c>
      <c r="AK31" s="21">
        <f t="shared" si="12"/>
        <v>2</v>
      </c>
      <c r="AL31" s="21" t="str">
        <f t="shared" si="12"/>
        <v/>
      </c>
      <c r="AM31" s="21" t="str">
        <f t="shared" si="12"/>
        <v/>
      </c>
    </row>
    <row r="32" spans="2:39" ht="18.95" customHeight="1" x14ac:dyDescent="0.3">
      <c r="B32" s="22" t="str">
        <f>IF(Job2_Name="","",Job2_Name)</f>
        <v>Job 2</v>
      </c>
      <c r="C32" s="23" t="str">
        <f t="shared" ref="C32:AM32" si="13">IF(OR(NOT(ISNUMBER(C29)),C29&lt;Job2_StartDate),"",IF(MID(Job2_Pattern,MOD(C29-Job2_StartDate,LEN(Job2_Pattern))+1,1)=Job2_Shift1_Code,1,IF(MID(Job2_Pattern,MOD(C29-Job2_StartDate,LEN(Job2_Pattern))+1,1)=Job2_Shift2_Code,2,IF(MID(Job2_Pattern,MOD(C29-Job2_StartDate,LEN(Job2_Pattern))+1,1)=Job2_Shift3_Code,3,""))))</f>
        <v/>
      </c>
      <c r="D32" s="23" t="str">
        <f t="shared" si="13"/>
        <v/>
      </c>
      <c r="E32" s="23" t="str">
        <f t="shared" si="13"/>
        <v/>
      </c>
      <c r="F32" s="23" t="str">
        <f t="shared" si="13"/>
        <v/>
      </c>
      <c r="G32" s="23" t="str">
        <f t="shared" si="13"/>
        <v/>
      </c>
      <c r="H32" s="23">
        <f t="shared" si="13"/>
        <v>1</v>
      </c>
      <c r="I32" s="23">
        <f t="shared" si="13"/>
        <v>1</v>
      </c>
      <c r="J32" s="23" t="str">
        <f t="shared" si="13"/>
        <v/>
      </c>
      <c r="K32" s="23" t="str">
        <f t="shared" si="13"/>
        <v/>
      </c>
      <c r="L32" s="23" t="str">
        <f t="shared" si="13"/>
        <v/>
      </c>
      <c r="M32" s="23">
        <f t="shared" si="13"/>
        <v>2</v>
      </c>
      <c r="N32" s="23">
        <f t="shared" si="13"/>
        <v>2</v>
      </c>
      <c r="O32" s="23" t="str">
        <f t="shared" si="13"/>
        <v/>
      </c>
      <c r="P32" s="23">
        <f t="shared" si="13"/>
        <v>1</v>
      </c>
      <c r="Q32" s="23">
        <f t="shared" si="13"/>
        <v>1</v>
      </c>
      <c r="R32" s="23" t="str">
        <f t="shared" si="13"/>
        <v/>
      </c>
      <c r="S32" s="23" t="str">
        <f t="shared" si="13"/>
        <v/>
      </c>
      <c r="T32" s="23" t="str">
        <f t="shared" si="13"/>
        <v/>
      </c>
      <c r="U32" s="23">
        <f t="shared" si="13"/>
        <v>2</v>
      </c>
      <c r="V32" s="23">
        <f t="shared" si="13"/>
        <v>2</v>
      </c>
      <c r="W32" s="23">
        <f t="shared" si="13"/>
        <v>2</v>
      </c>
      <c r="X32" s="23">
        <f t="shared" si="13"/>
        <v>2</v>
      </c>
      <c r="Y32" s="23" t="str">
        <f t="shared" si="13"/>
        <v/>
      </c>
      <c r="Z32" s="23" t="str">
        <f t="shared" si="13"/>
        <v/>
      </c>
      <c r="AA32" s="23" t="str">
        <f t="shared" si="13"/>
        <v/>
      </c>
      <c r="AB32" s="23" t="str">
        <f t="shared" si="13"/>
        <v/>
      </c>
      <c r="AC32" s="23" t="str">
        <f t="shared" si="13"/>
        <v/>
      </c>
      <c r="AD32" s="23">
        <f t="shared" si="13"/>
        <v>1</v>
      </c>
      <c r="AE32" s="23" t="str">
        <f t="shared" si="13"/>
        <v/>
      </c>
      <c r="AF32" s="23" t="str">
        <f t="shared" si="13"/>
        <v/>
      </c>
      <c r="AG32" s="23">
        <f t="shared" si="13"/>
        <v>2</v>
      </c>
      <c r="AH32" s="23">
        <f t="shared" si="13"/>
        <v>2</v>
      </c>
      <c r="AI32" s="23">
        <f t="shared" si="13"/>
        <v>2</v>
      </c>
      <c r="AJ32" s="23" t="str">
        <f t="shared" si="13"/>
        <v/>
      </c>
      <c r="AK32" s="23" t="str">
        <f t="shared" si="13"/>
        <v/>
      </c>
      <c r="AL32" s="23">
        <f t="shared" si="13"/>
        <v>1</v>
      </c>
      <c r="AM32" s="23" t="str">
        <f t="shared" si="13"/>
        <v/>
      </c>
    </row>
    <row r="33" spans="2:39" ht="18.95" customHeight="1" x14ac:dyDescent="0.3">
      <c r="B33" s="22" t="str">
        <f>IF(Job3_Name="","",Job3_Name)</f>
        <v>Job 3</v>
      </c>
      <c r="C33" s="23" t="str">
        <f t="shared" ref="C33:AM33" si="14">IF(OR(NOT(ISNUMBER(C29)),C29&lt;Job3_StartDate),"",IF(MID(Job3_Pattern,MOD(C29-Job3_StartDate,LEN(Job3_Pattern))+1,1)=Job3_Shift1_Code,1,IF(MID(Job3_Pattern,MOD(C29-Job3_StartDate,LEN(Job3_Pattern))+1,1)=Job3_Shift2_Code,2,IF(MID(Job3_Pattern,MOD(C29-Job3_StartDate,LEN(Job3_Pattern))+1,1)=Job3_Shift3_Code,3,""))))</f>
        <v/>
      </c>
      <c r="D33" s="23" t="str">
        <f t="shared" si="14"/>
        <v/>
      </c>
      <c r="E33" s="23" t="str">
        <f t="shared" si="14"/>
        <v/>
      </c>
      <c r="F33" s="23" t="str">
        <f t="shared" si="14"/>
        <v/>
      </c>
      <c r="G33" s="23" t="str">
        <f t="shared" si="14"/>
        <v/>
      </c>
      <c r="H33" s="23">
        <f t="shared" si="14"/>
        <v>3</v>
      </c>
      <c r="I33" s="23">
        <f t="shared" si="14"/>
        <v>3</v>
      </c>
      <c r="J33" s="23" t="str">
        <f t="shared" si="14"/>
        <v/>
      </c>
      <c r="K33" s="23" t="str">
        <f t="shared" si="14"/>
        <v/>
      </c>
      <c r="L33" s="23" t="str">
        <f t="shared" si="14"/>
        <v/>
      </c>
      <c r="M33" s="23">
        <f t="shared" si="14"/>
        <v>3</v>
      </c>
      <c r="N33" s="23" t="str">
        <f t="shared" si="14"/>
        <v/>
      </c>
      <c r="O33" s="23" t="str">
        <f t="shared" si="14"/>
        <v/>
      </c>
      <c r="P33" s="23" t="str">
        <f t="shared" si="14"/>
        <v/>
      </c>
      <c r="Q33" s="23" t="str">
        <f t="shared" si="14"/>
        <v/>
      </c>
      <c r="R33" s="23" t="str">
        <f t="shared" si="14"/>
        <v/>
      </c>
      <c r="S33" s="23" t="str">
        <f t="shared" si="14"/>
        <v/>
      </c>
      <c r="T33" s="23">
        <f t="shared" si="14"/>
        <v>3</v>
      </c>
      <c r="U33" s="23">
        <f t="shared" si="14"/>
        <v>3</v>
      </c>
      <c r="V33" s="23" t="str">
        <f t="shared" si="14"/>
        <v/>
      </c>
      <c r="W33" s="23" t="str">
        <f t="shared" si="14"/>
        <v/>
      </c>
      <c r="X33" s="23" t="str">
        <f t="shared" si="14"/>
        <v/>
      </c>
      <c r="Y33" s="23">
        <f t="shared" si="14"/>
        <v>3</v>
      </c>
      <c r="Z33" s="23">
        <f t="shared" si="14"/>
        <v>3</v>
      </c>
      <c r="AA33" s="23" t="str">
        <f t="shared" si="14"/>
        <v/>
      </c>
      <c r="AB33" s="23" t="str">
        <f t="shared" si="14"/>
        <v/>
      </c>
      <c r="AC33" s="23" t="str">
        <f t="shared" si="14"/>
        <v/>
      </c>
      <c r="AD33" s="23" t="str">
        <f t="shared" si="14"/>
        <v/>
      </c>
      <c r="AE33" s="23">
        <f t="shared" si="14"/>
        <v>3</v>
      </c>
      <c r="AF33" s="23">
        <f t="shared" si="14"/>
        <v>3</v>
      </c>
      <c r="AG33" s="23" t="str">
        <f t="shared" si="14"/>
        <v/>
      </c>
      <c r="AH33" s="23" t="str">
        <f t="shared" si="14"/>
        <v/>
      </c>
      <c r="AI33" s="23" t="str">
        <f t="shared" si="14"/>
        <v/>
      </c>
      <c r="AJ33" s="23" t="str">
        <f t="shared" si="14"/>
        <v/>
      </c>
      <c r="AK33" s="23">
        <f t="shared" si="14"/>
        <v>3</v>
      </c>
      <c r="AL33" s="23">
        <f t="shared" si="14"/>
        <v>3</v>
      </c>
      <c r="AM33" s="23" t="str">
        <f t="shared" si="14"/>
        <v/>
      </c>
    </row>
    <row r="34" spans="2:39" ht="12" customHeight="1" x14ac:dyDescent="0.3"/>
    <row r="35" spans="2:39" s="16" customFormat="1" ht="18.95" customHeight="1" x14ac:dyDescent="0.3">
      <c r="B35" s="13">
        <f>DATE(CalendarYear,6,1)</f>
        <v>43983</v>
      </c>
      <c r="C35" s="14" t="str">
        <f>IF(DAY(JunSun1)=1,"",IF(AND(YEAR(JunSun1+1)=CalendarYear,MONTH(JunSun1+1)=6),JunSun1+1,""))</f>
        <v/>
      </c>
      <c r="D35" s="14">
        <f>IF(DAY(JunSun1)=1,"",IF(AND(YEAR(JunSun1+2)=CalendarYear,MONTH(JunSun1+2)=6),JunSun1+2,""))</f>
        <v>43983</v>
      </c>
      <c r="E35" s="14">
        <f>IF(DAY(JunSun1)=1,"",IF(AND(YEAR(JunSun1+3)=CalendarYear,MONTH(JunSun1+3)=6),JunSun1+3,""))</f>
        <v>43984</v>
      </c>
      <c r="F35" s="14">
        <f>IF(DAY(JunSun1)=1,"",IF(AND(YEAR(JunSun1+4)=CalendarYear,MONTH(JunSun1+4)=6),JunSun1+4,""))</f>
        <v>43985</v>
      </c>
      <c r="G35" s="14">
        <f>IF(DAY(JunSun1)=1,"",IF(AND(YEAR(JunSun1+5)=CalendarYear,MONTH(JunSun1+5)=6),JunSun1+5,""))</f>
        <v>43986</v>
      </c>
      <c r="H35" s="14">
        <f>IF(DAY(JunSun1)=1,"",IF(AND(YEAR(JunSun1+6)=CalendarYear,MONTH(JunSun1+6)=6),JunSun1+6,""))</f>
        <v>43987</v>
      </c>
      <c r="I35" s="14">
        <f>IF(DAY(JunSun1)=1,IF(AND(YEAR(JunSun1)=CalendarYear,MONTH(JunSun1)=6),JunSun1,""),IF(AND(YEAR(JunSun1+7)=CalendarYear,MONTH(JunSun1+7)=6),JunSun1+7,""))</f>
        <v>43988</v>
      </c>
      <c r="J35" s="14">
        <f>IF(DAY(JunSun1)=1,IF(AND(YEAR(JunSun1+1)=CalendarYear,MONTH(JunSun1+1)=6),JunSun1+1,""),IF(AND(YEAR(JunSun1+8)=CalendarYear,MONTH(JunSun1+8)=6),JunSun1+8,""))</f>
        <v>43989</v>
      </c>
      <c r="K35" s="14">
        <f>IF(DAY(JunSun1)=1,IF(AND(YEAR(JunSun1+2)=CalendarYear,MONTH(JunSun1+2)=6),JunSun1+2,""),IF(AND(YEAR(JunSun1+9)=CalendarYear,MONTH(JunSun1+9)=6),JunSun1+9,""))</f>
        <v>43990</v>
      </c>
      <c r="L35" s="14">
        <f>IF(DAY(JunSun1)=1,IF(AND(YEAR(JunSun1+3)=CalendarYear,MONTH(JunSun1+3)=6),JunSun1+3,""),IF(AND(YEAR(JunSun1+10)=CalendarYear,MONTH(JunSun1+10)=6),JunSun1+10,""))</f>
        <v>43991</v>
      </c>
      <c r="M35" s="14">
        <f>IF(DAY(JunSun1)=1,IF(AND(YEAR(JunSun1+4)=CalendarYear,MONTH(JunSun1+4)=6),JunSun1+4,""),IF(AND(YEAR(JunSun1+11)=CalendarYear,MONTH(JunSun1+11)=6),JunSun1+11,""))</f>
        <v>43992</v>
      </c>
      <c r="N35" s="14">
        <f>IF(DAY(JunSun1)=1,IF(AND(YEAR(JunSun1+5)=CalendarYear,MONTH(JunSun1+5)=6),JunSun1+5,""),IF(AND(YEAR(JunSun1+12)=CalendarYear,MONTH(JunSun1+12)=6),JunSun1+12,""))</f>
        <v>43993</v>
      </c>
      <c r="O35" s="14">
        <f>IF(DAY(JunSun1)=1,IF(AND(YEAR(JunSun1+6)=CalendarYear,MONTH(JunSun1+6)=6),JunSun1+6,""),IF(AND(YEAR(JunSun1+13)=CalendarYear,MONTH(JunSun1+13)=6),JunSun1+13,""))</f>
        <v>43994</v>
      </c>
      <c r="P35" s="14">
        <f>IF(DAY(JunSun1)=1,IF(AND(YEAR(JunSun1+7)=CalendarYear,MONTH(JunSun1+7)=6),JunSun1+7,""),IF(AND(YEAR(JunSun1+14)=CalendarYear,MONTH(JunSun1+14)=6),JunSun1+14,""))</f>
        <v>43995</v>
      </c>
      <c r="Q35" s="14">
        <f>IF(DAY(JunSun1)=1,IF(AND(YEAR(JunSun1+8)=CalendarYear,MONTH(JunSun1+8)=6),JunSun1+8,""),IF(AND(YEAR(JunSun1+15)=CalendarYear,MONTH(JunSun1+15)=6),JunSun1+15,""))</f>
        <v>43996</v>
      </c>
      <c r="R35" s="14">
        <f>IF(DAY(JunSun1)=1,IF(AND(YEAR(JunSun1+9)=CalendarYear,MONTH(JunSun1+9)=6),JunSun1+9,""),IF(AND(YEAR(JunSun1+16)=CalendarYear,MONTH(JunSun1+16)=6),JunSun1+16,""))</f>
        <v>43997</v>
      </c>
      <c r="S35" s="14">
        <f>IF(DAY(JunSun1)=1,IF(AND(YEAR(JunSun1+10)=CalendarYear,MONTH(JunSun1+10)=6),JunSun1+10,""),IF(AND(YEAR(JunSun1+17)=CalendarYear,MONTH(JunSun1+17)=6),JunSun1+17,""))</f>
        <v>43998</v>
      </c>
      <c r="T35" s="14">
        <f>IF(DAY(JunSun1)=1,IF(AND(YEAR(JunSun1+11)=CalendarYear,MONTH(JunSun1+11)=6),JunSun1+11,""),IF(AND(YEAR(JunSun1+18)=CalendarYear,MONTH(JunSun1+18)=6),JunSun1+18,""))</f>
        <v>43999</v>
      </c>
      <c r="U35" s="14">
        <f>IF(DAY(JunSun1)=1,IF(AND(YEAR(JunSun1+12)=CalendarYear,MONTH(JunSun1+12)=6),JunSun1+12,""),IF(AND(YEAR(JunSun1+19)=CalendarYear,MONTH(JunSun1+19)=6),JunSun1+19,""))</f>
        <v>44000</v>
      </c>
      <c r="V35" s="14">
        <f>IF(DAY(JunSun1)=1,IF(AND(YEAR(JunSun1+13)=CalendarYear,MONTH(JunSun1+13)=6),JunSun1+13,""),IF(AND(YEAR(JunSun1+20)=CalendarYear,MONTH(JunSun1+20)=6),JunSun1+20,""))</f>
        <v>44001</v>
      </c>
      <c r="W35" s="14">
        <f>IF(DAY(JunSun1)=1,IF(AND(YEAR(JunSun1+14)=CalendarYear,MONTH(JunSun1+14)=6),JunSun1+14,""),IF(AND(YEAR(JunSun1+21)=CalendarYear,MONTH(JunSun1+21)=6),JunSun1+21,""))</f>
        <v>44002</v>
      </c>
      <c r="X35" s="14">
        <f>IF(DAY(JunSun1)=1,IF(AND(YEAR(JunSun1+15)=CalendarYear,MONTH(JunSun1+15)=6),JunSun1+15,""),IF(AND(YEAR(JunSun1+22)=CalendarYear,MONTH(JunSun1+22)=6),JunSun1+22,""))</f>
        <v>44003</v>
      </c>
      <c r="Y35" s="14">
        <f>IF(DAY(JunSun1)=1,IF(AND(YEAR(JunSun1+16)=CalendarYear,MONTH(JunSun1+16)=6),JunSun1+16,""),IF(AND(YEAR(JunSun1+23)=CalendarYear,MONTH(JunSun1+23)=6),JunSun1+23,""))</f>
        <v>44004</v>
      </c>
      <c r="Z35" s="14">
        <f>IF(DAY(JunSun1)=1,IF(AND(YEAR(JunSun1+17)=CalendarYear,MONTH(JunSun1+17)=6),JunSun1+17,""),IF(AND(YEAR(JunSun1+24)=CalendarYear,MONTH(JunSun1+24)=6),JunSun1+24,""))</f>
        <v>44005</v>
      </c>
      <c r="AA35" s="14">
        <f>IF(DAY(JunSun1)=1,IF(AND(YEAR(JunSun1+18)=CalendarYear,MONTH(JunSun1+18)=6),JunSun1+18,""),IF(AND(YEAR(JunSun1+25)=CalendarYear,MONTH(JunSun1+25)=6),JunSun1+25,""))</f>
        <v>44006</v>
      </c>
      <c r="AB35" s="14">
        <f>IF(DAY(JunSun1)=1,IF(AND(YEAR(JunSun1+19)=CalendarYear,MONTH(JunSun1+19)=6),JunSun1+19,""),IF(AND(YEAR(JunSun1+26)=CalendarYear,MONTH(JunSun1+26)=6),JunSun1+26,""))</f>
        <v>44007</v>
      </c>
      <c r="AC35" s="14">
        <f>IF(DAY(JunSun1)=1,IF(AND(YEAR(JunSun1+20)=CalendarYear,MONTH(JunSun1+20)=6),JunSun1+20,""),IF(AND(YEAR(JunSun1+27)=CalendarYear,MONTH(JunSun1+27)=6),JunSun1+27,""))</f>
        <v>44008</v>
      </c>
      <c r="AD35" s="14">
        <f>IF(DAY(JunSun1)=1,IF(AND(YEAR(JunSun1+21)=CalendarYear,MONTH(JunSun1+21)=6),JunSun1+21,""),IF(AND(YEAR(JunSun1+28)=CalendarYear,MONTH(JunSun1+28)=6),JunSun1+28,""))</f>
        <v>44009</v>
      </c>
      <c r="AE35" s="14">
        <f>IF(DAY(JunSun1)=1,IF(AND(YEAR(JunSun1+22)=CalendarYear,MONTH(JunSun1+22)=6),JunSun1+22,""),IF(AND(YEAR(JunSun1+29)=CalendarYear,MONTH(JunSun1+29)=6),JunSun1+29,""))</f>
        <v>44010</v>
      </c>
      <c r="AF35" s="14">
        <f>IF(DAY(JunSun1)=1,IF(AND(YEAR(JunSun1+23)=CalendarYear,MONTH(JunSun1+23)=6),JunSun1+23,""),IF(AND(YEAR(JunSun1+30)=CalendarYear,MONTH(JunSun1+30)=6),JunSun1+30,""))</f>
        <v>44011</v>
      </c>
      <c r="AG35" s="14">
        <f>IF(DAY(JunSun1)=1,IF(AND(YEAR(JunSun1+24)=CalendarYear,MONTH(JunSun1+24)=6),JunSun1+24,""),IF(AND(YEAR(JunSun1+31)=CalendarYear,MONTH(JunSun1+31)=6),JunSun1+31,""))</f>
        <v>44012</v>
      </c>
      <c r="AH35" s="14" t="str">
        <f>IF(DAY(JunSun1)=1,IF(AND(YEAR(JunSun1+25)=CalendarYear,MONTH(JunSun1+25)=6),JunSun1+25,""),IF(AND(YEAR(JunSun1+32)=CalendarYear,MONTH(JunSun1+32)=6),JunSun1+32,""))</f>
        <v/>
      </c>
      <c r="AI35" s="14" t="str">
        <f>IF(DAY(JunSun1)=1,IF(AND(YEAR(JunSun1+26)=CalendarYear,MONTH(JunSun1+26)=6),JunSun1+26,""),IF(AND(YEAR(JunSun1+33)=CalendarYear,MONTH(JunSun1+33)=6),JunSun1+33,""))</f>
        <v/>
      </c>
      <c r="AJ35" s="14" t="str">
        <f>IF(DAY(JunSun1)=1,IF(AND(YEAR(JunSun1+27)=CalendarYear,MONTH(JunSun1+27)=6),JunSun1+27,""),IF(AND(YEAR(JunSun1+34)=CalendarYear,MONTH(JunSun1+34)=6),JunSun1+34,""))</f>
        <v/>
      </c>
      <c r="AK35" s="14" t="str">
        <f>IF(DAY(JunSun1)=1,IF(AND(YEAR(JunSun1+28)=CalendarYear,MONTH(JunSun1+28)=6),JunSun1+28,""),IF(AND(YEAR(JunSun1+35)=CalendarYear,MONTH(JunSun1+35)=6),JunSun1+35,""))</f>
        <v/>
      </c>
      <c r="AL35" s="14" t="str">
        <f>IF(DAY(JunSun1)=1,IF(AND(YEAR(JunSun1+29)=CalendarYear,MONTH(JunSun1+29)=6),JunSun1+29,""),IF(AND(YEAR(JunSun1+36)=CalendarYear,MONTH(JunSun1+36)=6),JunSun1+36,""))</f>
        <v/>
      </c>
      <c r="AM35" s="15" t="str">
        <f>IF(DAY(JunSun1)=1,IF(AND(YEAR(JunSun1+30)=CalendarYear,MONTH(JunSun1+30)=6),JunSun1+30,""),IF(AND(YEAR(JunSun1+37)=CalendarYear,MONTH(JunSun1+37)=6),JunSun1+37,""))</f>
        <v/>
      </c>
    </row>
    <row r="36" spans="2:39" s="16" customFormat="1" ht="18.95" customHeight="1" x14ac:dyDescent="0.3">
      <c r="B36" s="17"/>
      <c r="C36" s="18" t="s">
        <v>1</v>
      </c>
      <c r="D36" s="18" t="s">
        <v>2</v>
      </c>
      <c r="E36" s="18" t="s">
        <v>3</v>
      </c>
      <c r="F36" s="18" t="s">
        <v>4</v>
      </c>
      <c r="G36" s="18" t="s">
        <v>5</v>
      </c>
      <c r="H36" s="18" t="s">
        <v>6</v>
      </c>
      <c r="I36" s="18" t="s">
        <v>7</v>
      </c>
      <c r="J36" s="18" t="s">
        <v>1</v>
      </c>
      <c r="K36" s="18" t="s">
        <v>2</v>
      </c>
      <c r="L36" s="18" t="s">
        <v>3</v>
      </c>
      <c r="M36" s="18" t="s">
        <v>4</v>
      </c>
      <c r="N36" s="18" t="s">
        <v>5</v>
      </c>
      <c r="O36" s="18" t="s">
        <v>6</v>
      </c>
      <c r="P36" s="18" t="s">
        <v>7</v>
      </c>
      <c r="Q36" s="18" t="s">
        <v>1</v>
      </c>
      <c r="R36" s="18" t="s">
        <v>2</v>
      </c>
      <c r="S36" s="18" t="s">
        <v>3</v>
      </c>
      <c r="T36" s="18" t="s">
        <v>4</v>
      </c>
      <c r="U36" s="18" t="s">
        <v>5</v>
      </c>
      <c r="V36" s="18" t="s">
        <v>6</v>
      </c>
      <c r="W36" s="18" t="s">
        <v>7</v>
      </c>
      <c r="X36" s="18" t="s">
        <v>1</v>
      </c>
      <c r="Y36" s="18" t="s">
        <v>2</v>
      </c>
      <c r="Z36" s="18" t="s">
        <v>3</v>
      </c>
      <c r="AA36" s="18" t="s">
        <v>4</v>
      </c>
      <c r="AB36" s="18" t="s">
        <v>5</v>
      </c>
      <c r="AC36" s="18" t="s">
        <v>6</v>
      </c>
      <c r="AD36" s="18" t="s">
        <v>7</v>
      </c>
      <c r="AE36" s="18" t="s">
        <v>1</v>
      </c>
      <c r="AF36" s="18" t="s">
        <v>2</v>
      </c>
      <c r="AG36" s="18" t="s">
        <v>3</v>
      </c>
      <c r="AH36" s="18" t="s">
        <v>4</v>
      </c>
      <c r="AI36" s="18" t="s">
        <v>5</v>
      </c>
      <c r="AJ36" s="18" t="s">
        <v>6</v>
      </c>
      <c r="AK36" s="18" t="s">
        <v>7</v>
      </c>
      <c r="AL36" s="18" t="s">
        <v>1</v>
      </c>
      <c r="AM36" s="19" t="s">
        <v>2</v>
      </c>
    </row>
    <row r="37" spans="2:39" ht="18.95" customHeight="1" x14ac:dyDescent="0.3">
      <c r="B37" s="20" t="str">
        <f>IF(Job1_Name="","",Job1_Name)</f>
        <v>Job 1</v>
      </c>
      <c r="C37" s="21" t="str">
        <f t="shared" ref="C37:AM37" si="15">IF(OR(NOT(ISNUMBER(C35)),C35&lt;Job1_StartDate),"",IF(MID(Job1_Pattern,MOD(C35-Job1_StartDate,LEN(Job1_Pattern))+1,1)=Job1_Shift1_Code,1,IF(MID(Job1_Pattern,MOD(C35-Job1_StartDate,LEN(Job1_Pattern))+1,1)=Job1_Shift2_Code,2,IF(MID(Job1_Pattern,MOD(C35-Job1_StartDate,LEN(Job1_Pattern))+1,1)=Job1_Shift3_Code,3,""))))</f>
        <v/>
      </c>
      <c r="D37" s="21" t="str">
        <f t="shared" si="15"/>
        <v/>
      </c>
      <c r="E37" s="21" t="str">
        <f t="shared" si="15"/>
        <v/>
      </c>
      <c r="F37" s="21">
        <f t="shared" si="15"/>
        <v>1</v>
      </c>
      <c r="G37" s="21">
        <f t="shared" si="15"/>
        <v>1</v>
      </c>
      <c r="H37" s="21">
        <f t="shared" si="15"/>
        <v>1</v>
      </c>
      <c r="I37" s="21">
        <f t="shared" si="15"/>
        <v>1</v>
      </c>
      <c r="J37" s="21" t="str">
        <f t="shared" si="15"/>
        <v/>
      </c>
      <c r="K37" s="21" t="str">
        <f t="shared" si="15"/>
        <v/>
      </c>
      <c r="L37" s="21">
        <f t="shared" si="15"/>
        <v>2</v>
      </c>
      <c r="M37" s="21">
        <f t="shared" si="15"/>
        <v>2</v>
      </c>
      <c r="N37" s="21">
        <f t="shared" si="15"/>
        <v>2</v>
      </c>
      <c r="O37" s="21">
        <f t="shared" si="15"/>
        <v>2</v>
      </c>
      <c r="P37" s="21" t="str">
        <f t="shared" si="15"/>
        <v/>
      </c>
      <c r="Q37" s="21" t="str">
        <f t="shared" si="15"/>
        <v/>
      </c>
      <c r="R37" s="21">
        <f t="shared" si="15"/>
        <v>1</v>
      </c>
      <c r="S37" s="21">
        <f t="shared" si="15"/>
        <v>1</v>
      </c>
      <c r="T37" s="21">
        <f t="shared" si="15"/>
        <v>1</v>
      </c>
      <c r="U37" s="21" t="str">
        <f t="shared" si="15"/>
        <v/>
      </c>
      <c r="V37" s="21">
        <f t="shared" si="15"/>
        <v>2</v>
      </c>
      <c r="W37" s="21">
        <f t="shared" si="15"/>
        <v>2</v>
      </c>
      <c r="X37" s="21">
        <f t="shared" si="15"/>
        <v>2</v>
      </c>
      <c r="Y37" s="21" t="str">
        <f t="shared" si="15"/>
        <v/>
      </c>
      <c r="Z37" s="21" t="str">
        <f t="shared" si="15"/>
        <v/>
      </c>
      <c r="AA37" s="21" t="str">
        <f t="shared" si="15"/>
        <v/>
      </c>
      <c r="AB37" s="21">
        <f t="shared" si="15"/>
        <v>1</v>
      </c>
      <c r="AC37" s="21">
        <f t="shared" si="15"/>
        <v>1</v>
      </c>
      <c r="AD37" s="21" t="str">
        <f t="shared" si="15"/>
        <v/>
      </c>
      <c r="AE37" s="21">
        <f t="shared" si="15"/>
        <v>2</v>
      </c>
      <c r="AF37" s="21">
        <f t="shared" si="15"/>
        <v>2</v>
      </c>
      <c r="AG37" s="21" t="str">
        <f t="shared" si="15"/>
        <v/>
      </c>
      <c r="AH37" s="21" t="str">
        <f t="shared" si="15"/>
        <v/>
      </c>
      <c r="AI37" s="21" t="str">
        <f t="shared" si="15"/>
        <v/>
      </c>
      <c r="AJ37" s="21" t="str">
        <f t="shared" si="15"/>
        <v/>
      </c>
      <c r="AK37" s="21" t="str">
        <f t="shared" si="15"/>
        <v/>
      </c>
      <c r="AL37" s="21" t="str">
        <f t="shared" si="15"/>
        <v/>
      </c>
      <c r="AM37" s="21" t="str">
        <f t="shared" si="15"/>
        <v/>
      </c>
    </row>
    <row r="38" spans="2:39" ht="18.95" customHeight="1" x14ac:dyDescent="0.3">
      <c r="B38" s="22" t="str">
        <f>IF(Job2_Name="","",Job2_Name)</f>
        <v>Job 2</v>
      </c>
      <c r="C38" s="23" t="str">
        <f t="shared" ref="C38:AM38" si="16">IF(OR(NOT(ISNUMBER(C35)),C35&lt;Job2_StartDate),"",IF(MID(Job2_Pattern,MOD(C35-Job2_StartDate,LEN(Job2_Pattern))+1,1)=Job2_Shift1_Code,1,IF(MID(Job2_Pattern,MOD(C35-Job2_StartDate,LEN(Job2_Pattern))+1,1)=Job2_Shift2_Code,2,IF(MID(Job2_Pattern,MOD(C35-Job2_StartDate,LEN(Job2_Pattern))+1,1)=Job2_Shift3_Code,3,""))))</f>
        <v/>
      </c>
      <c r="D38" s="23">
        <f t="shared" si="16"/>
        <v>1</v>
      </c>
      <c r="E38" s="23" t="str">
        <f t="shared" si="16"/>
        <v/>
      </c>
      <c r="F38" s="23" t="str">
        <f t="shared" si="16"/>
        <v/>
      </c>
      <c r="G38" s="23" t="str">
        <f t="shared" si="16"/>
        <v/>
      </c>
      <c r="H38" s="23">
        <f t="shared" si="16"/>
        <v>2</v>
      </c>
      <c r="I38" s="23">
        <f t="shared" si="16"/>
        <v>2</v>
      </c>
      <c r="J38" s="23" t="str">
        <f t="shared" si="16"/>
        <v/>
      </c>
      <c r="K38" s="23">
        <f t="shared" si="16"/>
        <v>1</v>
      </c>
      <c r="L38" s="23">
        <f t="shared" si="16"/>
        <v>1</v>
      </c>
      <c r="M38" s="23" t="str">
        <f t="shared" si="16"/>
        <v/>
      </c>
      <c r="N38" s="23" t="str">
        <f t="shared" si="16"/>
        <v/>
      </c>
      <c r="O38" s="23" t="str">
        <f t="shared" si="16"/>
        <v/>
      </c>
      <c r="P38" s="23">
        <f t="shared" si="16"/>
        <v>2</v>
      </c>
      <c r="Q38" s="23">
        <f t="shared" si="16"/>
        <v>2</v>
      </c>
      <c r="R38" s="23">
        <f t="shared" si="16"/>
        <v>2</v>
      </c>
      <c r="S38" s="23">
        <f t="shared" si="16"/>
        <v>2</v>
      </c>
      <c r="T38" s="23" t="str">
        <f t="shared" si="16"/>
        <v/>
      </c>
      <c r="U38" s="23" t="str">
        <f t="shared" si="16"/>
        <v/>
      </c>
      <c r="V38" s="23" t="str">
        <f t="shared" si="16"/>
        <v/>
      </c>
      <c r="W38" s="23" t="str">
        <f t="shared" si="16"/>
        <v/>
      </c>
      <c r="X38" s="23" t="str">
        <f t="shared" si="16"/>
        <v/>
      </c>
      <c r="Y38" s="23">
        <f t="shared" si="16"/>
        <v>1</v>
      </c>
      <c r="Z38" s="23" t="str">
        <f t="shared" si="16"/>
        <v/>
      </c>
      <c r="AA38" s="23" t="str">
        <f t="shared" si="16"/>
        <v/>
      </c>
      <c r="AB38" s="23">
        <f t="shared" si="16"/>
        <v>2</v>
      </c>
      <c r="AC38" s="23">
        <f t="shared" si="16"/>
        <v>2</v>
      </c>
      <c r="AD38" s="23">
        <f t="shared" si="16"/>
        <v>2</v>
      </c>
      <c r="AE38" s="23" t="str">
        <f t="shared" si="16"/>
        <v/>
      </c>
      <c r="AF38" s="23" t="str">
        <f t="shared" si="16"/>
        <v/>
      </c>
      <c r="AG38" s="23">
        <f t="shared" si="16"/>
        <v>1</v>
      </c>
      <c r="AH38" s="23" t="str">
        <f t="shared" si="16"/>
        <v/>
      </c>
      <c r="AI38" s="23" t="str">
        <f t="shared" si="16"/>
        <v/>
      </c>
      <c r="AJ38" s="23" t="str">
        <f t="shared" si="16"/>
        <v/>
      </c>
      <c r="AK38" s="23" t="str">
        <f t="shared" si="16"/>
        <v/>
      </c>
      <c r="AL38" s="23" t="str">
        <f t="shared" si="16"/>
        <v/>
      </c>
      <c r="AM38" s="23" t="str">
        <f t="shared" si="16"/>
        <v/>
      </c>
    </row>
    <row r="39" spans="2:39" ht="18.95" customHeight="1" x14ac:dyDescent="0.3">
      <c r="B39" s="22" t="str">
        <f>IF(Job3_Name="","",Job3_Name)</f>
        <v>Job 3</v>
      </c>
      <c r="C39" s="23" t="str">
        <f t="shared" ref="C39:AM39" si="17">IF(OR(NOT(ISNUMBER(C35)),C35&lt;Job3_StartDate),"",IF(MID(Job3_Pattern,MOD(C35-Job3_StartDate,LEN(Job3_Pattern))+1,1)=Job3_Shift1_Code,1,IF(MID(Job3_Pattern,MOD(C35-Job3_StartDate,LEN(Job3_Pattern))+1,1)=Job3_Shift2_Code,2,IF(MID(Job3_Pattern,MOD(C35-Job3_StartDate,LEN(Job3_Pattern))+1,1)=Job3_Shift3_Code,3,""))))</f>
        <v/>
      </c>
      <c r="D39" s="23">
        <f t="shared" si="17"/>
        <v>3</v>
      </c>
      <c r="E39" s="23" t="str">
        <f t="shared" si="17"/>
        <v/>
      </c>
      <c r="F39" s="23" t="str">
        <f t="shared" si="17"/>
        <v/>
      </c>
      <c r="G39" s="23" t="str">
        <f t="shared" si="17"/>
        <v/>
      </c>
      <c r="H39" s="23">
        <f t="shared" si="17"/>
        <v>3</v>
      </c>
      <c r="I39" s="23" t="str">
        <f t="shared" si="17"/>
        <v/>
      </c>
      <c r="J39" s="23" t="str">
        <f t="shared" si="17"/>
        <v/>
      </c>
      <c r="K39" s="23" t="str">
        <f t="shared" si="17"/>
        <v/>
      </c>
      <c r="L39" s="23" t="str">
        <f t="shared" si="17"/>
        <v/>
      </c>
      <c r="M39" s="23" t="str">
        <f t="shared" si="17"/>
        <v/>
      </c>
      <c r="N39" s="23" t="str">
        <f t="shared" si="17"/>
        <v/>
      </c>
      <c r="O39" s="23">
        <f t="shared" si="17"/>
        <v>3</v>
      </c>
      <c r="P39" s="23">
        <f t="shared" si="17"/>
        <v>3</v>
      </c>
      <c r="Q39" s="23" t="str">
        <f t="shared" si="17"/>
        <v/>
      </c>
      <c r="R39" s="23" t="str">
        <f t="shared" si="17"/>
        <v/>
      </c>
      <c r="S39" s="23" t="str">
        <f t="shared" si="17"/>
        <v/>
      </c>
      <c r="T39" s="23">
        <f t="shared" si="17"/>
        <v>3</v>
      </c>
      <c r="U39" s="23">
        <f t="shared" si="17"/>
        <v>3</v>
      </c>
      <c r="V39" s="23" t="str">
        <f t="shared" si="17"/>
        <v/>
      </c>
      <c r="W39" s="23" t="str">
        <f t="shared" si="17"/>
        <v/>
      </c>
      <c r="X39" s="23" t="str">
        <f t="shared" si="17"/>
        <v/>
      </c>
      <c r="Y39" s="23" t="str">
        <f t="shared" si="17"/>
        <v/>
      </c>
      <c r="Z39" s="23">
        <f t="shared" si="17"/>
        <v>3</v>
      </c>
      <c r="AA39" s="23">
        <f t="shared" si="17"/>
        <v>3</v>
      </c>
      <c r="AB39" s="23" t="str">
        <f t="shared" si="17"/>
        <v/>
      </c>
      <c r="AC39" s="23" t="str">
        <f t="shared" si="17"/>
        <v/>
      </c>
      <c r="AD39" s="23" t="str">
        <f t="shared" si="17"/>
        <v/>
      </c>
      <c r="AE39" s="23" t="str">
        <f t="shared" si="17"/>
        <v/>
      </c>
      <c r="AF39" s="23">
        <f t="shared" si="17"/>
        <v>3</v>
      </c>
      <c r="AG39" s="23">
        <f t="shared" si="17"/>
        <v>3</v>
      </c>
      <c r="AH39" s="23" t="str">
        <f t="shared" si="17"/>
        <v/>
      </c>
      <c r="AI39" s="23" t="str">
        <f t="shared" si="17"/>
        <v/>
      </c>
      <c r="AJ39" s="23" t="str">
        <f t="shared" si="17"/>
        <v/>
      </c>
      <c r="AK39" s="23" t="str">
        <f t="shared" si="17"/>
        <v/>
      </c>
      <c r="AL39" s="23" t="str">
        <f t="shared" si="17"/>
        <v/>
      </c>
      <c r="AM39" s="23" t="str">
        <f t="shared" si="17"/>
        <v/>
      </c>
    </row>
    <row r="40" spans="2:39" ht="12" customHeight="1" x14ac:dyDescent="0.3"/>
    <row r="41" spans="2:39" s="16" customFormat="1" ht="18.95" customHeight="1" x14ac:dyDescent="0.3">
      <c r="B41" s="13">
        <f>DATE(CalendarYear,7,1)</f>
        <v>44013</v>
      </c>
      <c r="C41" s="14" t="str">
        <f>IF(DAY(JulSun1)=1,"",IF(AND(YEAR(JulSun1+1)=CalendarYear,MONTH(JulSun1+1)=7),JulSun1+1,""))</f>
        <v/>
      </c>
      <c r="D41" s="14" t="str">
        <f>IF(DAY(JulSun1)=1,"",IF(AND(YEAR(JulSun1+2)=CalendarYear,MONTH(JulSun1+2)=7),JulSun1+2,""))</f>
        <v/>
      </c>
      <c r="E41" s="14" t="str">
        <f>IF(DAY(JulSun1)=1,"",IF(AND(YEAR(JulSun1+3)=CalendarYear,MONTH(JulSun1+3)=7),JulSun1+3,""))</f>
        <v/>
      </c>
      <c r="F41" s="14">
        <f>IF(DAY(JulSun1)=1,"",IF(AND(YEAR(JulSun1+4)=CalendarYear,MONTH(JulSun1+4)=7),JulSun1+4,""))</f>
        <v>44013</v>
      </c>
      <c r="G41" s="14">
        <f>IF(DAY(JulSun1)=1,"",IF(AND(YEAR(JulSun1+5)=CalendarYear,MONTH(JulSun1+5)=7),JulSun1+5,""))</f>
        <v>44014</v>
      </c>
      <c r="H41" s="14">
        <f>IF(DAY(JulSun1)=1,"",IF(AND(YEAR(JulSun1+6)=CalendarYear,MONTH(JulSun1+6)=7),JulSun1+6,""))</f>
        <v>44015</v>
      </c>
      <c r="I41" s="14">
        <f>IF(DAY(JulSun1)=1,IF(AND(YEAR(JulSun1)=CalendarYear,MONTH(JulSun1)=7),JulSun1,""),IF(AND(YEAR(JulSun1+7)=CalendarYear,MONTH(JulSun1+7)=7),JulSun1+7,""))</f>
        <v>44016</v>
      </c>
      <c r="J41" s="14">
        <f>IF(DAY(JulSun1)=1,IF(AND(YEAR(JulSun1+1)=CalendarYear,MONTH(JulSun1+1)=7),JulSun1+1,""),IF(AND(YEAR(JulSun1+8)=CalendarYear,MONTH(JulSun1+8)=7),JulSun1+8,""))</f>
        <v>44017</v>
      </c>
      <c r="K41" s="14">
        <f>IF(DAY(JulSun1)=1,IF(AND(YEAR(JulSun1+2)=CalendarYear,MONTH(JulSun1+2)=7),JulSun1+2,""),IF(AND(YEAR(JulSun1+9)=CalendarYear,MONTH(JulSun1+9)=7),JulSun1+9,""))</f>
        <v>44018</v>
      </c>
      <c r="L41" s="14">
        <f>IF(DAY(JulSun1)=1,IF(AND(YEAR(JulSun1+3)=CalendarYear,MONTH(JulSun1+3)=7),JulSun1+3,""),IF(AND(YEAR(JulSun1+10)=CalendarYear,MONTH(JulSun1+10)=7),JulSun1+10,""))</f>
        <v>44019</v>
      </c>
      <c r="M41" s="14">
        <f>IF(DAY(JulSun1)=1,IF(AND(YEAR(JulSun1+4)=CalendarYear,MONTH(JulSun1+4)=7),JulSun1+4,""),IF(AND(YEAR(JulSun1+11)=CalendarYear,MONTH(JulSun1+11)=7),JulSun1+11,""))</f>
        <v>44020</v>
      </c>
      <c r="N41" s="14">
        <f>IF(DAY(JulSun1)=1,IF(AND(YEAR(JulSun1+5)=CalendarYear,MONTH(JulSun1+5)=7),JulSun1+5,""),IF(AND(YEAR(JulSun1+12)=CalendarYear,MONTH(JulSun1+12)=7),JulSun1+12,""))</f>
        <v>44021</v>
      </c>
      <c r="O41" s="14">
        <f>IF(DAY(JulSun1)=1,IF(AND(YEAR(JulSun1+6)=CalendarYear,MONTH(JulSun1+6)=7),JulSun1+6,""),IF(AND(YEAR(JulSun1+13)=CalendarYear,MONTH(JulSun1+13)=7),JulSun1+13,""))</f>
        <v>44022</v>
      </c>
      <c r="P41" s="14">
        <f>IF(DAY(JulSun1)=1,IF(AND(YEAR(JulSun1+7)=CalendarYear,MONTH(JulSun1+7)=7),JulSun1+7,""),IF(AND(YEAR(JulSun1+14)=CalendarYear,MONTH(JulSun1+14)=7),JulSun1+14,""))</f>
        <v>44023</v>
      </c>
      <c r="Q41" s="14">
        <f>IF(DAY(JulSun1)=1,IF(AND(YEAR(JulSun1+8)=CalendarYear,MONTH(JulSun1+8)=7),JulSun1+8,""),IF(AND(YEAR(JulSun1+15)=CalendarYear,MONTH(JulSun1+15)=7),JulSun1+15,""))</f>
        <v>44024</v>
      </c>
      <c r="R41" s="14">
        <f>IF(DAY(JulSun1)=1,IF(AND(YEAR(JulSun1+9)=CalendarYear,MONTH(JulSun1+9)=7),JulSun1+9,""),IF(AND(YEAR(JulSun1+16)=CalendarYear,MONTH(JulSun1+16)=7),JulSun1+16,""))</f>
        <v>44025</v>
      </c>
      <c r="S41" s="14">
        <f>IF(DAY(JulSun1)=1,IF(AND(YEAR(JulSun1+10)=CalendarYear,MONTH(JulSun1+10)=7),JulSun1+10,""),IF(AND(YEAR(JulSun1+17)=CalendarYear,MONTH(JulSun1+17)=7),JulSun1+17,""))</f>
        <v>44026</v>
      </c>
      <c r="T41" s="14">
        <f>IF(DAY(JulSun1)=1,IF(AND(YEAR(JulSun1+11)=CalendarYear,MONTH(JulSun1+11)=7),JulSun1+11,""),IF(AND(YEAR(JulSun1+18)=CalendarYear,MONTH(JulSun1+18)=7),JulSun1+18,""))</f>
        <v>44027</v>
      </c>
      <c r="U41" s="14">
        <f>IF(DAY(JulSun1)=1,IF(AND(YEAR(JulSun1+12)=CalendarYear,MONTH(JulSun1+12)=7),JulSun1+12,""),IF(AND(YEAR(JulSun1+19)=CalendarYear,MONTH(JulSun1+19)=7),JulSun1+19,""))</f>
        <v>44028</v>
      </c>
      <c r="V41" s="14">
        <f>IF(DAY(JulSun1)=1,IF(AND(YEAR(JulSun1+13)=CalendarYear,MONTH(JulSun1+13)=7),JulSun1+13,""),IF(AND(YEAR(JulSun1+20)=CalendarYear,MONTH(JulSun1+20)=7),JulSun1+20,""))</f>
        <v>44029</v>
      </c>
      <c r="W41" s="14">
        <f>IF(DAY(JulSun1)=1,IF(AND(YEAR(JulSun1+14)=CalendarYear,MONTH(JulSun1+14)=7),JulSun1+14,""),IF(AND(YEAR(JulSun1+21)=CalendarYear,MONTH(JulSun1+21)=7),JulSun1+21,""))</f>
        <v>44030</v>
      </c>
      <c r="X41" s="14">
        <f>IF(DAY(JulSun1)=1,IF(AND(YEAR(JulSun1+15)=CalendarYear,MONTH(JulSun1+15)=7),JulSun1+15,""),IF(AND(YEAR(JulSun1+22)=CalendarYear,MONTH(JulSun1+22)=7),JulSun1+22,""))</f>
        <v>44031</v>
      </c>
      <c r="Y41" s="14">
        <f>IF(DAY(JulSun1)=1,IF(AND(YEAR(JulSun1+16)=CalendarYear,MONTH(JulSun1+16)=7),JulSun1+16,""),IF(AND(YEAR(JulSun1+23)=CalendarYear,MONTH(JulSun1+23)=7),JulSun1+23,""))</f>
        <v>44032</v>
      </c>
      <c r="Z41" s="14">
        <f>IF(DAY(JulSun1)=1,IF(AND(YEAR(JulSun1+17)=CalendarYear,MONTH(JulSun1+17)=7),JulSun1+17,""),IF(AND(YEAR(JulSun1+24)=CalendarYear,MONTH(JulSun1+24)=7),JulSun1+24,""))</f>
        <v>44033</v>
      </c>
      <c r="AA41" s="14">
        <f>IF(DAY(JulSun1)=1,IF(AND(YEAR(JulSun1+18)=CalendarYear,MONTH(JulSun1+18)=7),JulSun1+18,""),IF(AND(YEAR(JulSun1+25)=CalendarYear,MONTH(JulSun1+25)=7),JulSun1+25,""))</f>
        <v>44034</v>
      </c>
      <c r="AB41" s="14">
        <f>IF(DAY(JulSun1)=1,IF(AND(YEAR(JulSun1+19)=CalendarYear,MONTH(JulSun1+19)=7),JulSun1+19,""),IF(AND(YEAR(JulSun1+26)=CalendarYear,MONTH(JulSun1+26)=7),JulSun1+26,""))</f>
        <v>44035</v>
      </c>
      <c r="AC41" s="14">
        <f>IF(DAY(JulSun1)=1,IF(AND(YEAR(JulSun1+20)=CalendarYear,MONTH(JulSun1+20)=7),JulSun1+20,""),IF(AND(YEAR(JulSun1+27)=CalendarYear,MONTH(JulSun1+27)=7),JulSun1+27,""))</f>
        <v>44036</v>
      </c>
      <c r="AD41" s="14">
        <f>IF(DAY(JulSun1)=1,IF(AND(YEAR(JulSun1+21)=CalendarYear,MONTH(JulSun1+21)=7),JulSun1+21,""),IF(AND(YEAR(JulSun1+28)=CalendarYear,MONTH(JulSun1+28)=7),JulSun1+28,""))</f>
        <v>44037</v>
      </c>
      <c r="AE41" s="14">
        <f>IF(DAY(JulSun1)=1,IF(AND(YEAR(JulSun1+22)=CalendarYear,MONTH(JulSun1+22)=7),JulSun1+22,""),IF(AND(YEAR(JulSun1+29)=CalendarYear,MONTH(JulSun1+29)=7),JulSun1+29,""))</f>
        <v>44038</v>
      </c>
      <c r="AF41" s="14">
        <f>IF(DAY(JulSun1)=1,IF(AND(YEAR(JulSun1+23)=CalendarYear,MONTH(JulSun1+23)=7),JulSun1+23,""),IF(AND(YEAR(JulSun1+30)=CalendarYear,MONTH(JulSun1+30)=7),JulSun1+30,""))</f>
        <v>44039</v>
      </c>
      <c r="AG41" s="14">
        <f>IF(DAY(JulSun1)=1,IF(AND(YEAR(JulSun1+24)=CalendarYear,MONTH(JulSun1+24)=7),JulSun1+24,""),IF(AND(YEAR(JulSun1+31)=CalendarYear,MONTH(JulSun1+31)=7),JulSun1+31,""))</f>
        <v>44040</v>
      </c>
      <c r="AH41" s="14">
        <f>IF(DAY(JulSun1)=1,IF(AND(YEAR(JulSun1+25)=CalendarYear,MONTH(JulSun1+25)=7),JulSun1+25,""),IF(AND(YEAR(JulSun1+32)=CalendarYear,MONTH(JulSun1+32)=7),JulSun1+32,""))</f>
        <v>44041</v>
      </c>
      <c r="AI41" s="14">
        <f>IF(DAY(JulSun1)=1,IF(AND(YEAR(JulSun1+26)=CalendarYear,MONTH(JulSun1+26)=7),JulSun1+26,""),IF(AND(YEAR(JulSun1+33)=CalendarYear,MONTH(JulSun1+33)=7),JulSun1+33,""))</f>
        <v>44042</v>
      </c>
      <c r="AJ41" s="14">
        <f>IF(DAY(JulSun1)=1,IF(AND(YEAR(JulSun1+27)=CalendarYear,MONTH(JulSun1+27)=7),JulSun1+27,""),IF(AND(YEAR(JulSun1+34)=CalendarYear,MONTH(JulSun1+34)=7),JulSun1+34,""))</f>
        <v>44043</v>
      </c>
      <c r="AK41" s="14" t="str">
        <f>IF(DAY(JulSun1)=1,IF(AND(YEAR(JulSun1+28)=CalendarYear,MONTH(JulSun1+28)=7),JulSun1+28,""),IF(AND(YEAR(JulSun1+35)=CalendarYear,MONTH(JulSun1+35)=7),JulSun1+35,""))</f>
        <v/>
      </c>
      <c r="AL41" s="14" t="str">
        <f>IF(DAY(JulSun1)=1,IF(AND(YEAR(JulSun1+29)=CalendarYear,MONTH(JulSun1+29)=7),JulSun1+29,""),IF(AND(YEAR(JulSun1+36)=CalendarYear,MONTH(JulSun1+36)=7),JulSun1+36,""))</f>
        <v/>
      </c>
      <c r="AM41" s="15" t="str">
        <f>IF(DAY(JulSun1)=1,IF(AND(YEAR(JulSun1+30)=CalendarYear,MONTH(JulSun1+30)=7),JulSun1+30,""),IF(AND(YEAR(JulSun1+37)=CalendarYear,MONTH(JulSun1+37)=7),JulSun1+37,""))</f>
        <v/>
      </c>
    </row>
    <row r="42" spans="2:39" s="16" customFormat="1" ht="18.95" customHeight="1" x14ac:dyDescent="0.3">
      <c r="B42" s="17"/>
      <c r="C42" s="18" t="s">
        <v>1</v>
      </c>
      <c r="D42" s="18" t="s">
        <v>2</v>
      </c>
      <c r="E42" s="18" t="s">
        <v>3</v>
      </c>
      <c r="F42" s="18" t="s">
        <v>4</v>
      </c>
      <c r="G42" s="18" t="s">
        <v>5</v>
      </c>
      <c r="H42" s="18" t="s">
        <v>6</v>
      </c>
      <c r="I42" s="18" t="s">
        <v>7</v>
      </c>
      <c r="J42" s="18" t="s">
        <v>1</v>
      </c>
      <c r="K42" s="18" t="s">
        <v>2</v>
      </c>
      <c r="L42" s="18" t="s">
        <v>3</v>
      </c>
      <c r="M42" s="18" t="s">
        <v>4</v>
      </c>
      <c r="N42" s="18" t="s">
        <v>5</v>
      </c>
      <c r="O42" s="18" t="s">
        <v>6</v>
      </c>
      <c r="P42" s="18" t="s">
        <v>7</v>
      </c>
      <c r="Q42" s="18" t="s">
        <v>1</v>
      </c>
      <c r="R42" s="18" t="s">
        <v>2</v>
      </c>
      <c r="S42" s="18" t="s">
        <v>3</v>
      </c>
      <c r="T42" s="18" t="s">
        <v>4</v>
      </c>
      <c r="U42" s="18" t="s">
        <v>5</v>
      </c>
      <c r="V42" s="18" t="s">
        <v>6</v>
      </c>
      <c r="W42" s="18" t="s">
        <v>7</v>
      </c>
      <c r="X42" s="18" t="s">
        <v>1</v>
      </c>
      <c r="Y42" s="18" t="s">
        <v>2</v>
      </c>
      <c r="Z42" s="18" t="s">
        <v>3</v>
      </c>
      <c r="AA42" s="18" t="s">
        <v>4</v>
      </c>
      <c r="AB42" s="18" t="s">
        <v>5</v>
      </c>
      <c r="AC42" s="18" t="s">
        <v>6</v>
      </c>
      <c r="AD42" s="18" t="s">
        <v>7</v>
      </c>
      <c r="AE42" s="18" t="s">
        <v>1</v>
      </c>
      <c r="AF42" s="18" t="s">
        <v>2</v>
      </c>
      <c r="AG42" s="18" t="s">
        <v>3</v>
      </c>
      <c r="AH42" s="18" t="s">
        <v>4</v>
      </c>
      <c r="AI42" s="18" t="s">
        <v>5</v>
      </c>
      <c r="AJ42" s="18" t="s">
        <v>6</v>
      </c>
      <c r="AK42" s="18" t="s">
        <v>7</v>
      </c>
      <c r="AL42" s="18" t="s">
        <v>1</v>
      </c>
      <c r="AM42" s="19" t="s">
        <v>2</v>
      </c>
    </row>
    <row r="43" spans="2:39" ht="18.95" customHeight="1" x14ac:dyDescent="0.3">
      <c r="B43" s="20" t="str">
        <f>IF(Job1_Name="","",Job1_Name)</f>
        <v>Job 1</v>
      </c>
      <c r="C43" s="21" t="str">
        <f t="shared" ref="C43:AM43" si="18">IF(OR(NOT(ISNUMBER(C41)),C41&lt;Job1_StartDate),"",IF(MID(Job1_Pattern,MOD(C41-Job1_StartDate,LEN(Job1_Pattern))+1,1)=Job1_Shift1_Code,1,IF(MID(Job1_Pattern,MOD(C41-Job1_StartDate,LEN(Job1_Pattern))+1,1)=Job1_Shift2_Code,2,IF(MID(Job1_Pattern,MOD(C41-Job1_StartDate,LEN(Job1_Pattern))+1,1)=Job1_Shift3_Code,3,""))))</f>
        <v/>
      </c>
      <c r="D43" s="21" t="str">
        <f t="shared" si="18"/>
        <v/>
      </c>
      <c r="E43" s="21" t="str">
        <f t="shared" si="18"/>
        <v/>
      </c>
      <c r="F43" s="21" t="str">
        <f t="shared" si="18"/>
        <v/>
      </c>
      <c r="G43" s="21" t="str">
        <f t="shared" si="18"/>
        <v/>
      </c>
      <c r="H43" s="21">
        <f t="shared" si="18"/>
        <v>1</v>
      </c>
      <c r="I43" s="21">
        <f t="shared" si="18"/>
        <v>1</v>
      </c>
      <c r="J43" s="21">
        <f t="shared" si="18"/>
        <v>1</v>
      </c>
      <c r="K43" s="21">
        <f t="shared" si="18"/>
        <v>1</v>
      </c>
      <c r="L43" s="21" t="str">
        <f t="shared" si="18"/>
        <v/>
      </c>
      <c r="M43" s="21" t="str">
        <f t="shared" si="18"/>
        <v/>
      </c>
      <c r="N43" s="21">
        <f t="shared" si="18"/>
        <v>2</v>
      </c>
      <c r="O43" s="21">
        <f t="shared" si="18"/>
        <v>2</v>
      </c>
      <c r="P43" s="21">
        <f t="shared" si="18"/>
        <v>2</v>
      </c>
      <c r="Q43" s="21">
        <f t="shared" si="18"/>
        <v>2</v>
      </c>
      <c r="R43" s="21" t="str">
        <f t="shared" si="18"/>
        <v/>
      </c>
      <c r="S43" s="21" t="str">
        <f t="shared" si="18"/>
        <v/>
      </c>
      <c r="T43" s="21">
        <f t="shared" si="18"/>
        <v>1</v>
      </c>
      <c r="U43" s="21">
        <f t="shared" si="18"/>
        <v>1</v>
      </c>
      <c r="V43" s="21">
        <f t="shared" si="18"/>
        <v>1</v>
      </c>
      <c r="W43" s="21" t="str">
        <f t="shared" si="18"/>
        <v/>
      </c>
      <c r="X43" s="21">
        <f t="shared" si="18"/>
        <v>2</v>
      </c>
      <c r="Y43" s="21">
        <f t="shared" si="18"/>
        <v>2</v>
      </c>
      <c r="Z43" s="21">
        <f t="shared" si="18"/>
        <v>2</v>
      </c>
      <c r="AA43" s="21" t="str">
        <f t="shared" si="18"/>
        <v/>
      </c>
      <c r="AB43" s="21" t="str">
        <f t="shared" si="18"/>
        <v/>
      </c>
      <c r="AC43" s="21" t="str">
        <f t="shared" si="18"/>
        <v/>
      </c>
      <c r="AD43" s="21">
        <f t="shared" si="18"/>
        <v>1</v>
      </c>
      <c r="AE43" s="21">
        <f t="shared" si="18"/>
        <v>1</v>
      </c>
      <c r="AF43" s="21" t="str">
        <f t="shared" si="18"/>
        <v/>
      </c>
      <c r="AG43" s="21">
        <f t="shared" si="18"/>
        <v>2</v>
      </c>
      <c r="AH43" s="21">
        <f t="shared" si="18"/>
        <v>2</v>
      </c>
      <c r="AI43" s="21" t="str">
        <f t="shared" si="18"/>
        <v/>
      </c>
      <c r="AJ43" s="21" t="str">
        <f t="shared" si="18"/>
        <v/>
      </c>
      <c r="AK43" s="21" t="str">
        <f t="shared" si="18"/>
        <v/>
      </c>
      <c r="AL43" s="21" t="str">
        <f t="shared" si="18"/>
        <v/>
      </c>
      <c r="AM43" s="21" t="str">
        <f t="shared" si="18"/>
        <v/>
      </c>
    </row>
    <row r="44" spans="2:39" ht="18.95" customHeight="1" x14ac:dyDescent="0.3">
      <c r="B44" s="22" t="str">
        <f>IF(Job2_Name="","",Job2_Name)</f>
        <v>Job 2</v>
      </c>
      <c r="C44" s="23" t="str">
        <f t="shared" ref="C44:AM44" si="19">IF(OR(NOT(ISNUMBER(C41)),C41&lt;Job2_StartDate),"",IF(MID(Job2_Pattern,MOD(C41-Job2_StartDate,LEN(Job2_Pattern))+1,1)=Job2_Shift1_Code,1,IF(MID(Job2_Pattern,MOD(C41-Job2_StartDate,LEN(Job2_Pattern))+1,1)=Job2_Shift2_Code,2,IF(MID(Job2_Pattern,MOD(C41-Job2_StartDate,LEN(Job2_Pattern))+1,1)=Job2_Shift3_Code,3,""))))</f>
        <v/>
      </c>
      <c r="D44" s="23" t="str">
        <f t="shared" si="19"/>
        <v/>
      </c>
      <c r="E44" s="23" t="str">
        <f t="shared" si="19"/>
        <v/>
      </c>
      <c r="F44" s="23">
        <f t="shared" si="19"/>
        <v>1</v>
      </c>
      <c r="G44" s="23" t="str">
        <f t="shared" si="19"/>
        <v/>
      </c>
      <c r="H44" s="23" t="str">
        <f t="shared" si="19"/>
        <v/>
      </c>
      <c r="I44" s="23" t="str">
        <f t="shared" si="19"/>
        <v/>
      </c>
      <c r="J44" s="23">
        <f t="shared" si="19"/>
        <v>2</v>
      </c>
      <c r="K44" s="23">
        <f t="shared" si="19"/>
        <v>2</v>
      </c>
      <c r="L44" s="23" t="str">
        <f t="shared" si="19"/>
        <v/>
      </c>
      <c r="M44" s="23">
        <f t="shared" si="19"/>
        <v>1</v>
      </c>
      <c r="N44" s="23">
        <f t="shared" si="19"/>
        <v>1</v>
      </c>
      <c r="O44" s="23" t="str">
        <f t="shared" si="19"/>
        <v/>
      </c>
      <c r="P44" s="23" t="str">
        <f t="shared" si="19"/>
        <v/>
      </c>
      <c r="Q44" s="23" t="str">
        <f t="shared" si="19"/>
        <v/>
      </c>
      <c r="R44" s="23">
        <f t="shared" si="19"/>
        <v>2</v>
      </c>
      <c r="S44" s="23">
        <f t="shared" si="19"/>
        <v>2</v>
      </c>
      <c r="T44" s="23">
        <f t="shared" si="19"/>
        <v>2</v>
      </c>
      <c r="U44" s="23">
        <f t="shared" si="19"/>
        <v>2</v>
      </c>
      <c r="V44" s="23" t="str">
        <f t="shared" si="19"/>
        <v/>
      </c>
      <c r="W44" s="23" t="str">
        <f t="shared" si="19"/>
        <v/>
      </c>
      <c r="X44" s="23" t="str">
        <f t="shared" si="19"/>
        <v/>
      </c>
      <c r="Y44" s="23" t="str">
        <f t="shared" si="19"/>
        <v/>
      </c>
      <c r="Z44" s="23" t="str">
        <f t="shared" si="19"/>
        <v/>
      </c>
      <c r="AA44" s="23">
        <f t="shared" si="19"/>
        <v>1</v>
      </c>
      <c r="AB44" s="23" t="str">
        <f t="shared" si="19"/>
        <v/>
      </c>
      <c r="AC44" s="23" t="str">
        <f t="shared" si="19"/>
        <v/>
      </c>
      <c r="AD44" s="23">
        <f t="shared" si="19"/>
        <v>2</v>
      </c>
      <c r="AE44" s="23">
        <f t="shared" si="19"/>
        <v>2</v>
      </c>
      <c r="AF44" s="23">
        <f t="shared" si="19"/>
        <v>2</v>
      </c>
      <c r="AG44" s="23" t="str">
        <f t="shared" si="19"/>
        <v/>
      </c>
      <c r="AH44" s="23" t="str">
        <f t="shared" si="19"/>
        <v/>
      </c>
      <c r="AI44" s="23">
        <f t="shared" si="19"/>
        <v>1</v>
      </c>
      <c r="AJ44" s="23">
        <f t="shared" si="19"/>
        <v>1</v>
      </c>
      <c r="AK44" s="23" t="str">
        <f t="shared" si="19"/>
        <v/>
      </c>
      <c r="AL44" s="23" t="str">
        <f t="shared" si="19"/>
        <v/>
      </c>
      <c r="AM44" s="23" t="str">
        <f t="shared" si="19"/>
        <v/>
      </c>
    </row>
    <row r="45" spans="2:39" ht="18.95" customHeight="1" x14ac:dyDescent="0.3">
      <c r="B45" s="22" t="str">
        <f>IF(Job3_Name="","",Job3_Name)</f>
        <v>Job 3</v>
      </c>
      <c r="C45" s="23" t="str">
        <f t="shared" ref="C45:AM45" si="20">IF(OR(NOT(ISNUMBER(C41)),C41&lt;Job3_StartDate),"",IF(MID(Job3_Pattern,MOD(C41-Job3_StartDate,LEN(Job3_Pattern))+1,1)=Job3_Shift1_Code,1,IF(MID(Job3_Pattern,MOD(C41-Job3_StartDate,LEN(Job3_Pattern))+1,1)=Job3_Shift2_Code,2,IF(MID(Job3_Pattern,MOD(C41-Job3_StartDate,LEN(Job3_Pattern))+1,1)=Job3_Shift3_Code,3,""))))</f>
        <v/>
      </c>
      <c r="D45" s="23" t="str">
        <f t="shared" si="20"/>
        <v/>
      </c>
      <c r="E45" s="23" t="str">
        <f t="shared" si="20"/>
        <v/>
      </c>
      <c r="F45" s="23">
        <f t="shared" si="20"/>
        <v>3</v>
      </c>
      <c r="G45" s="23" t="str">
        <f t="shared" si="20"/>
        <v/>
      </c>
      <c r="H45" s="23" t="str">
        <f t="shared" si="20"/>
        <v/>
      </c>
      <c r="I45" s="23" t="str">
        <f t="shared" si="20"/>
        <v/>
      </c>
      <c r="J45" s="23">
        <f t="shared" si="20"/>
        <v>3</v>
      </c>
      <c r="K45" s="23" t="str">
        <f t="shared" si="20"/>
        <v/>
      </c>
      <c r="L45" s="23" t="str">
        <f t="shared" si="20"/>
        <v/>
      </c>
      <c r="M45" s="23" t="str">
        <f t="shared" si="20"/>
        <v/>
      </c>
      <c r="N45" s="23" t="str">
        <f t="shared" si="20"/>
        <v/>
      </c>
      <c r="O45" s="23" t="str">
        <f t="shared" si="20"/>
        <v/>
      </c>
      <c r="P45" s="23" t="str">
        <f t="shared" si="20"/>
        <v/>
      </c>
      <c r="Q45" s="23">
        <f t="shared" si="20"/>
        <v>3</v>
      </c>
      <c r="R45" s="23">
        <f t="shared" si="20"/>
        <v>3</v>
      </c>
      <c r="S45" s="23" t="str">
        <f t="shared" si="20"/>
        <v/>
      </c>
      <c r="T45" s="23" t="str">
        <f t="shared" si="20"/>
        <v/>
      </c>
      <c r="U45" s="23" t="str">
        <f t="shared" si="20"/>
        <v/>
      </c>
      <c r="V45" s="23">
        <f t="shared" si="20"/>
        <v>3</v>
      </c>
      <c r="W45" s="23">
        <f t="shared" si="20"/>
        <v>3</v>
      </c>
      <c r="X45" s="23" t="str">
        <f t="shared" si="20"/>
        <v/>
      </c>
      <c r="Y45" s="23" t="str">
        <f t="shared" si="20"/>
        <v/>
      </c>
      <c r="Z45" s="23" t="str">
        <f t="shared" si="20"/>
        <v/>
      </c>
      <c r="AA45" s="23" t="str">
        <f t="shared" si="20"/>
        <v/>
      </c>
      <c r="AB45" s="23">
        <f t="shared" si="20"/>
        <v>3</v>
      </c>
      <c r="AC45" s="23">
        <f t="shared" si="20"/>
        <v>3</v>
      </c>
      <c r="AD45" s="23" t="str">
        <f t="shared" si="20"/>
        <v/>
      </c>
      <c r="AE45" s="23" t="str">
        <f t="shared" si="20"/>
        <v/>
      </c>
      <c r="AF45" s="23" t="str">
        <f t="shared" si="20"/>
        <v/>
      </c>
      <c r="AG45" s="23" t="str">
        <f t="shared" si="20"/>
        <v/>
      </c>
      <c r="AH45" s="23">
        <f t="shared" si="20"/>
        <v>3</v>
      </c>
      <c r="AI45" s="23">
        <f t="shared" si="20"/>
        <v>3</v>
      </c>
      <c r="AJ45" s="23">
        <f t="shared" si="20"/>
        <v>3</v>
      </c>
      <c r="AK45" s="23" t="str">
        <f t="shared" si="20"/>
        <v/>
      </c>
      <c r="AL45" s="23" t="str">
        <f t="shared" si="20"/>
        <v/>
      </c>
      <c r="AM45" s="23" t="str">
        <f t="shared" si="20"/>
        <v/>
      </c>
    </row>
    <row r="46" spans="2:39" ht="12" customHeight="1" x14ac:dyDescent="0.3"/>
    <row r="47" spans="2:39" s="16" customFormat="1" ht="18.95" customHeight="1" x14ac:dyDescent="0.3">
      <c r="B47" s="13">
        <f>DATE(CalendarYear,8,1)</f>
        <v>44044</v>
      </c>
      <c r="C47" s="14" t="str">
        <f>IF(DAY(AugSun1)=1,"",IF(AND(YEAR(AugSun1+1)=CalendarYear,MONTH(AugSun1+1)=8),AugSun1+1,""))</f>
        <v/>
      </c>
      <c r="D47" s="14" t="str">
        <f>IF(DAY(AugSun1)=1,"",IF(AND(YEAR(AugSun1+2)=CalendarYear,MONTH(AugSun1+2)=8),AugSun1+2,""))</f>
        <v/>
      </c>
      <c r="E47" s="14" t="str">
        <f>IF(DAY(AugSun1)=1,"",IF(AND(YEAR(AugSun1+3)=CalendarYear,MONTH(AugSun1+3)=8),AugSun1+3,""))</f>
        <v/>
      </c>
      <c r="F47" s="14" t="str">
        <f>IF(DAY(AugSun1)=1,"",IF(AND(YEAR(AugSun1+4)=CalendarYear,MONTH(AugSun1+4)=8),AugSun1+4,""))</f>
        <v/>
      </c>
      <c r="G47" s="14" t="str">
        <f>IF(DAY(AugSun1)=1,"",IF(AND(YEAR(AugSun1+5)=CalendarYear,MONTH(AugSun1+5)=8),AugSun1+5,""))</f>
        <v/>
      </c>
      <c r="H47" s="14" t="str">
        <f>IF(DAY(AugSun1)=1,"",IF(AND(YEAR(AugSun1+6)=CalendarYear,MONTH(AugSun1+6)=8),AugSun1+6,""))</f>
        <v/>
      </c>
      <c r="I47" s="14">
        <f>IF(DAY(AugSun1)=1,IF(AND(YEAR(AugSun1)=CalendarYear,MONTH(AugSun1)=8),AugSun1,""),IF(AND(YEAR(AugSun1+7)=CalendarYear,MONTH(AugSun1+7)=8),AugSun1+7,""))</f>
        <v>44044</v>
      </c>
      <c r="J47" s="14">
        <f>IF(DAY(AugSun1)=1,IF(AND(YEAR(AugSun1+1)=CalendarYear,MONTH(AugSun1+1)=8),AugSun1+1,""),IF(AND(YEAR(AugSun1+8)=CalendarYear,MONTH(AugSun1+8)=8),AugSun1+8,""))</f>
        <v>44045</v>
      </c>
      <c r="K47" s="14">
        <f>IF(DAY(AugSun1)=1,IF(AND(YEAR(AugSun1+2)=CalendarYear,MONTH(AugSun1+2)=8),AugSun1+2,""),IF(AND(YEAR(AugSun1+9)=CalendarYear,MONTH(AugSun1+9)=8),AugSun1+9,""))</f>
        <v>44046</v>
      </c>
      <c r="L47" s="14">
        <f>IF(DAY(AugSun1)=1,IF(AND(YEAR(AugSun1+3)=CalendarYear,MONTH(AugSun1+3)=8),AugSun1+3,""),IF(AND(YEAR(AugSun1+10)=CalendarYear,MONTH(AugSun1+10)=8),AugSun1+10,""))</f>
        <v>44047</v>
      </c>
      <c r="M47" s="14">
        <f>IF(DAY(AugSun1)=1,IF(AND(YEAR(AugSun1+4)=CalendarYear,MONTH(AugSun1+4)=8),AugSun1+4,""),IF(AND(YEAR(AugSun1+11)=CalendarYear,MONTH(AugSun1+11)=8),AugSun1+11,""))</f>
        <v>44048</v>
      </c>
      <c r="N47" s="14">
        <f>IF(DAY(AugSun1)=1,IF(AND(YEAR(AugSun1+5)=CalendarYear,MONTH(AugSun1+5)=8),AugSun1+5,""),IF(AND(YEAR(AugSun1+12)=CalendarYear,MONTH(AugSun1+12)=8),AugSun1+12,""))</f>
        <v>44049</v>
      </c>
      <c r="O47" s="14">
        <f>IF(DAY(AugSun1)=1,IF(AND(YEAR(AugSun1+6)=CalendarYear,MONTH(AugSun1+6)=8),AugSun1+6,""),IF(AND(YEAR(AugSun1+13)=CalendarYear,MONTH(AugSun1+13)=8),AugSun1+13,""))</f>
        <v>44050</v>
      </c>
      <c r="P47" s="14">
        <f>IF(DAY(AugSun1)=1,IF(AND(YEAR(AugSun1+7)=CalendarYear,MONTH(AugSun1+7)=8),AugSun1+7,""),IF(AND(YEAR(AugSun1+14)=CalendarYear,MONTH(AugSun1+14)=8),AugSun1+14,""))</f>
        <v>44051</v>
      </c>
      <c r="Q47" s="14">
        <f>IF(DAY(AugSun1)=1,IF(AND(YEAR(AugSun1+8)=CalendarYear,MONTH(AugSun1+8)=8),AugSun1+8,""),IF(AND(YEAR(AugSun1+15)=CalendarYear,MONTH(AugSun1+15)=8),AugSun1+15,""))</f>
        <v>44052</v>
      </c>
      <c r="R47" s="14">
        <f>IF(DAY(AugSun1)=1,IF(AND(YEAR(AugSun1+9)=CalendarYear,MONTH(AugSun1+9)=8),AugSun1+9,""),IF(AND(YEAR(AugSun1+16)=CalendarYear,MONTH(AugSun1+16)=8),AugSun1+16,""))</f>
        <v>44053</v>
      </c>
      <c r="S47" s="14">
        <f>IF(DAY(AugSun1)=1,IF(AND(YEAR(AugSun1+10)=CalendarYear,MONTH(AugSun1+10)=8),AugSun1+10,""),IF(AND(YEAR(AugSun1+17)=CalendarYear,MONTH(AugSun1+17)=8),AugSun1+17,""))</f>
        <v>44054</v>
      </c>
      <c r="T47" s="14">
        <f>IF(DAY(AugSun1)=1,IF(AND(YEAR(AugSun1+11)=CalendarYear,MONTH(AugSun1+11)=8),AugSun1+11,""),IF(AND(YEAR(AugSun1+18)=CalendarYear,MONTH(AugSun1+18)=8),AugSun1+18,""))</f>
        <v>44055</v>
      </c>
      <c r="U47" s="14">
        <f>IF(DAY(AugSun1)=1,IF(AND(YEAR(AugSun1+12)=CalendarYear,MONTH(AugSun1+12)=8),AugSun1+12,""),IF(AND(YEAR(AugSun1+19)=CalendarYear,MONTH(AugSun1+19)=8),AugSun1+19,""))</f>
        <v>44056</v>
      </c>
      <c r="V47" s="14">
        <f>IF(DAY(AugSun1)=1,IF(AND(YEAR(AugSun1+13)=CalendarYear,MONTH(AugSun1+13)=8),AugSun1+13,""),IF(AND(YEAR(AugSun1+20)=CalendarYear,MONTH(AugSun1+20)=8),AugSun1+20,""))</f>
        <v>44057</v>
      </c>
      <c r="W47" s="14">
        <f>IF(DAY(AugSun1)=1,IF(AND(YEAR(AugSun1+14)=CalendarYear,MONTH(AugSun1+14)=8),AugSun1+14,""),IF(AND(YEAR(AugSun1+21)=CalendarYear,MONTH(AugSun1+21)=8),AugSun1+21,""))</f>
        <v>44058</v>
      </c>
      <c r="X47" s="14">
        <f>IF(DAY(AugSun1)=1,IF(AND(YEAR(AugSun1+15)=CalendarYear,MONTH(AugSun1+15)=8),AugSun1+15,""),IF(AND(YEAR(AugSun1+22)=CalendarYear,MONTH(AugSun1+22)=8),AugSun1+22,""))</f>
        <v>44059</v>
      </c>
      <c r="Y47" s="14">
        <f>IF(DAY(AugSun1)=1,IF(AND(YEAR(AugSun1+16)=CalendarYear,MONTH(AugSun1+16)=8),AugSun1+16,""),IF(AND(YEAR(AugSun1+23)=CalendarYear,MONTH(AugSun1+23)=8),AugSun1+23,""))</f>
        <v>44060</v>
      </c>
      <c r="Z47" s="14">
        <f>IF(DAY(AugSun1)=1,IF(AND(YEAR(AugSun1+17)=CalendarYear,MONTH(AugSun1+17)=8),AugSun1+17,""),IF(AND(YEAR(AugSun1+24)=CalendarYear,MONTH(AugSun1+24)=8),AugSun1+24,""))</f>
        <v>44061</v>
      </c>
      <c r="AA47" s="14">
        <f>IF(DAY(AugSun1)=1,IF(AND(YEAR(AugSun1+18)=CalendarYear,MONTH(AugSun1+18)=8),AugSun1+18,""),IF(AND(YEAR(AugSun1+25)=CalendarYear,MONTH(AugSun1+25)=8),AugSun1+25,""))</f>
        <v>44062</v>
      </c>
      <c r="AB47" s="14">
        <f>IF(DAY(AugSun1)=1,IF(AND(YEAR(AugSun1+19)=CalendarYear,MONTH(AugSun1+19)=8),AugSun1+19,""),IF(AND(YEAR(AugSun1+26)=CalendarYear,MONTH(AugSun1+26)=8),AugSun1+26,""))</f>
        <v>44063</v>
      </c>
      <c r="AC47" s="14">
        <f>IF(DAY(AugSun1)=1,IF(AND(YEAR(AugSun1+20)=CalendarYear,MONTH(AugSun1+20)=8),AugSun1+20,""),IF(AND(YEAR(AugSun1+27)=CalendarYear,MONTH(AugSun1+27)=8),AugSun1+27,""))</f>
        <v>44064</v>
      </c>
      <c r="AD47" s="14">
        <f>IF(DAY(AugSun1)=1,IF(AND(YEAR(AugSun1+21)=CalendarYear,MONTH(AugSun1+21)=8),AugSun1+21,""),IF(AND(YEAR(AugSun1+28)=CalendarYear,MONTH(AugSun1+28)=8),AugSun1+28,""))</f>
        <v>44065</v>
      </c>
      <c r="AE47" s="14">
        <f>IF(DAY(AugSun1)=1,IF(AND(YEAR(AugSun1+22)=CalendarYear,MONTH(AugSun1+22)=8),AugSun1+22,""),IF(AND(YEAR(AugSun1+29)=CalendarYear,MONTH(AugSun1+29)=8),AugSun1+29,""))</f>
        <v>44066</v>
      </c>
      <c r="AF47" s="14">
        <f>IF(DAY(AugSun1)=1,IF(AND(YEAR(AugSun1+23)=CalendarYear,MONTH(AugSun1+23)=8),AugSun1+23,""),IF(AND(YEAR(AugSun1+30)=CalendarYear,MONTH(AugSun1+30)=8),AugSun1+30,""))</f>
        <v>44067</v>
      </c>
      <c r="AG47" s="14">
        <f>IF(DAY(AugSun1)=1,IF(AND(YEAR(AugSun1+24)=CalendarYear,MONTH(AugSun1+24)=8),AugSun1+24,""),IF(AND(YEAR(AugSun1+31)=CalendarYear,MONTH(AugSun1+31)=8),AugSun1+31,""))</f>
        <v>44068</v>
      </c>
      <c r="AH47" s="14">
        <f>IF(DAY(AugSun1)=1,IF(AND(YEAR(AugSun1+25)=CalendarYear,MONTH(AugSun1+25)=8),AugSun1+25,""),IF(AND(YEAR(AugSun1+32)=CalendarYear,MONTH(AugSun1+32)=8),AugSun1+32,""))</f>
        <v>44069</v>
      </c>
      <c r="AI47" s="14">
        <f>IF(DAY(AugSun1)=1,IF(AND(YEAR(AugSun1+26)=CalendarYear,MONTH(AugSun1+26)=8),AugSun1+26,""),IF(AND(YEAR(AugSun1+33)=CalendarYear,MONTH(AugSun1+33)=8),AugSun1+33,""))</f>
        <v>44070</v>
      </c>
      <c r="AJ47" s="14">
        <f>IF(DAY(AugSun1)=1,IF(AND(YEAR(AugSun1+27)=CalendarYear,MONTH(AugSun1+27)=8),AugSun1+27,""),IF(AND(YEAR(AugSun1+34)=CalendarYear,MONTH(AugSun1+34)=8),AugSun1+34,""))</f>
        <v>44071</v>
      </c>
      <c r="AK47" s="14">
        <f>IF(DAY(AugSun1)=1,IF(AND(YEAR(AugSun1+28)=CalendarYear,MONTH(AugSun1+28)=8),AugSun1+28,""),IF(AND(YEAR(AugSun1+35)=CalendarYear,MONTH(AugSun1+35)=8),AugSun1+35,""))</f>
        <v>44072</v>
      </c>
      <c r="AL47" s="14">
        <f>IF(DAY(AugSun1)=1,IF(AND(YEAR(AugSun1+29)=CalendarYear,MONTH(AugSun1+29)=8),AugSun1+29,""),IF(AND(YEAR(AugSun1+36)=CalendarYear,MONTH(AugSun1+36)=8),AugSun1+36,""))</f>
        <v>44073</v>
      </c>
      <c r="AM47" s="15">
        <f>IF(DAY(AugSun1)=1,IF(AND(YEAR(AugSun1+30)=CalendarYear,MONTH(AugSun1+30)=8),AugSun1+30,""),IF(AND(YEAR(AugSun1+37)=CalendarYear,MONTH(AugSun1+37)=8),AugSun1+37,""))</f>
        <v>44074</v>
      </c>
    </row>
    <row r="48" spans="2:39" s="16" customFormat="1" ht="18.95" customHeight="1" x14ac:dyDescent="0.3">
      <c r="B48" s="17"/>
      <c r="C48" s="18" t="s">
        <v>1</v>
      </c>
      <c r="D48" s="18" t="s">
        <v>2</v>
      </c>
      <c r="E48" s="18" t="s">
        <v>3</v>
      </c>
      <c r="F48" s="18" t="s">
        <v>4</v>
      </c>
      <c r="G48" s="18" t="s">
        <v>5</v>
      </c>
      <c r="H48" s="18" t="s">
        <v>6</v>
      </c>
      <c r="I48" s="18" t="s">
        <v>7</v>
      </c>
      <c r="J48" s="18" t="s">
        <v>1</v>
      </c>
      <c r="K48" s="18" t="s">
        <v>2</v>
      </c>
      <c r="L48" s="18" t="s">
        <v>3</v>
      </c>
      <c r="M48" s="18" t="s">
        <v>4</v>
      </c>
      <c r="N48" s="18" t="s">
        <v>5</v>
      </c>
      <c r="O48" s="18" t="s">
        <v>6</v>
      </c>
      <c r="P48" s="18" t="s">
        <v>7</v>
      </c>
      <c r="Q48" s="18" t="s">
        <v>1</v>
      </c>
      <c r="R48" s="18" t="s">
        <v>2</v>
      </c>
      <c r="S48" s="18" t="s">
        <v>3</v>
      </c>
      <c r="T48" s="18" t="s">
        <v>4</v>
      </c>
      <c r="U48" s="18" t="s">
        <v>5</v>
      </c>
      <c r="V48" s="18" t="s">
        <v>6</v>
      </c>
      <c r="W48" s="18" t="s">
        <v>7</v>
      </c>
      <c r="X48" s="18" t="s">
        <v>1</v>
      </c>
      <c r="Y48" s="18" t="s">
        <v>2</v>
      </c>
      <c r="Z48" s="18" t="s">
        <v>3</v>
      </c>
      <c r="AA48" s="18" t="s">
        <v>4</v>
      </c>
      <c r="AB48" s="18" t="s">
        <v>5</v>
      </c>
      <c r="AC48" s="18" t="s">
        <v>6</v>
      </c>
      <c r="AD48" s="18" t="s">
        <v>7</v>
      </c>
      <c r="AE48" s="18" t="s">
        <v>1</v>
      </c>
      <c r="AF48" s="18" t="s">
        <v>2</v>
      </c>
      <c r="AG48" s="18" t="s">
        <v>3</v>
      </c>
      <c r="AH48" s="18" t="s">
        <v>4</v>
      </c>
      <c r="AI48" s="18" t="s">
        <v>5</v>
      </c>
      <c r="AJ48" s="18" t="s">
        <v>6</v>
      </c>
      <c r="AK48" s="18" t="s">
        <v>7</v>
      </c>
      <c r="AL48" s="18" t="s">
        <v>1</v>
      </c>
      <c r="AM48" s="19" t="s">
        <v>2</v>
      </c>
    </row>
    <row r="49" spans="2:39" ht="18.95" customHeight="1" x14ac:dyDescent="0.3">
      <c r="B49" s="20" t="str">
        <f>IF(Job1_Name="","",Job1_Name)</f>
        <v>Job 1</v>
      </c>
      <c r="C49" s="21" t="str">
        <f t="shared" ref="C49:AM49" si="21">IF(OR(NOT(ISNUMBER(C47)),C47&lt;Job1_StartDate),"",IF(MID(Job1_Pattern,MOD(C47-Job1_StartDate,LEN(Job1_Pattern))+1,1)=Job1_Shift1_Code,1,IF(MID(Job1_Pattern,MOD(C47-Job1_StartDate,LEN(Job1_Pattern))+1,1)=Job1_Shift2_Code,2,IF(MID(Job1_Pattern,MOD(C47-Job1_StartDate,LEN(Job1_Pattern))+1,1)=Job1_Shift3_Code,3,""))))</f>
        <v/>
      </c>
      <c r="D49" s="21" t="str">
        <f t="shared" si="21"/>
        <v/>
      </c>
      <c r="E49" s="21" t="str">
        <f t="shared" si="21"/>
        <v/>
      </c>
      <c r="F49" s="21" t="str">
        <f t="shared" si="21"/>
        <v/>
      </c>
      <c r="G49" s="21" t="str">
        <f t="shared" si="21"/>
        <v/>
      </c>
      <c r="H49" s="21" t="str">
        <f t="shared" si="21"/>
        <v/>
      </c>
      <c r="I49" s="21" t="str">
        <f t="shared" si="21"/>
        <v/>
      </c>
      <c r="J49" s="21">
        <f t="shared" si="21"/>
        <v>1</v>
      </c>
      <c r="K49" s="21">
        <f t="shared" si="21"/>
        <v>1</v>
      </c>
      <c r="L49" s="21">
        <f t="shared" si="21"/>
        <v>1</v>
      </c>
      <c r="M49" s="21">
        <f t="shared" si="21"/>
        <v>1</v>
      </c>
      <c r="N49" s="21" t="str">
        <f t="shared" si="21"/>
        <v/>
      </c>
      <c r="O49" s="21" t="str">
        <f t="shared" si="21"/>
        <v/>
      </c>
      <c r="P49" s="21">
        <f t="shared" si="21"/>
        <v>2</v>
      </c>
      <c r="Q49" s="21">
        <f t="shared" si="21"/>
        <v>2</v>
      </c>
      <c r="R49" s="21">
        <f t="shared" si="21"/>
        <v>2</v>
      </c>
      <c r="S49" s="21">
        <f t="shared" si="21"/>
        <v>2</v>
      </c>
      <c r="T49" s="21" t="str">
        <f t="shared" si="21"/>
        <v/>
      </c>
      <c r="U49" s="21" t="str">
        <f t="shared" si="21"/>
        <v/>
      </c>
      <c r="V49" s="21">
        <f t="shared" si="21"/>
        <v>1</v>
      </c>
      <c r="W49" s="21">
        <f t="shared" si="21"/>
        <v>1</v>
      </c>
      <c r="X49" s="21">
        <f t="shared" si="21"/>
        <v>1</v>
      </c>
      <c r="Y49" s="21" t="str">
        <f t="shared" si="21"/>
        <v/>
      </c>
      <c r="Z49" s="21">
        <f t="shared" si="21"/>
        <v>2</v>
      </c>
      <c r="AA49" s="21">
        <f t="shared" si="21"/>
        <v>2</v>
      </c>
      <c r="AB49" s="21">
        <f t="shared" si="21"/>
        <v>2</v>
      </c>
      <c r="AC49" s="21" t="str">
        <f t="shared" si="21"/>
        <v/>
      </c>
      <c r="AD49" s="21" t="str">
        <f t="shared" si="21"/>
        <v/>
      </c>
      <c r="AE49" s="21" t="str">
        <f t="shared" si="21"/>
        <v/>
      </c>
      <c r="AF49" s="21">
        <f t="shared" si="21"/>
        <v>1</v>
      </c>
      <c r="AG49" s="21">
        <f t="shared" si="21"/>
        <v>1</v>
      </c>
      <c r="AH49" s="21" t="str">
        <f t="shared" si="21"/>
        <v/>
      </c>
      <c r="AI49" s="21">
        <f t="shared" si="21"/>
        <v>2</v>
      </c>
      <c r="AJ49" s="21">
        <f t="shared" si="21"/>
        <v>2</v>
      </c>
      <c r="AK49" s="21" t="str">
        <f t="shared" si="21"/>
        <v/>
      </c>
      <c r="AL49" s="21" t="str">
        <f t="shared" si="21"/>
        <v/>
      </c>
      <c r="AM49" s="21" t="str">
        <f t="shared" si="21"/>
        <v/>
      </c>
    </row>
    <row r="50" spans="2:39" ht="18.95" customHeight="1" x14ac:dyDescent="0.3">
      <c r="B50" s="22" t="str">
        <f>IF(Job2_Name="","",Job2_Name)</f>
        <v>Job 2</v>
      </c>
      <c r="C50" s="23" t="str">
        <f t="shared" ref="C50:AM50" si="22">IF(OR(NOT(ISNUMBER(C47)),C47&lt;Job2_StartDate),"",IF(MID(Job2_Pattern,MOD(C47-Job2_StartDate,LEN(Job2_Pattern))+1,1)=Job2_Shift1_Code,1,IF(MID(Job2_Pattern,MOD(C47-Job2_StartDate,LEN(Job2_Pattern))+1,1)=Job2_Shift2_Code,2,IF(MID(Job2_Pattern,MOD(C47-Job2_StartDate,LEN(Job2_Pattern))+1,1)=Job2_Shift3_Code,3,""))))</f>
        <v/>
      </c>
      <c r="D50" s="23" t="str">
        <f t="shared" si="22"/>
        <v/>
      </c>
      <c r="E50" s="23" t="str">
        <f t="shared" si="22"/>
        <v/>
      </c>
      <c r="F50" s="23" t="str">
        <f t="shared" si="22"/>
        <v/>
      </c>
      <c r="G50" s="23" t="str">
        <f t="shared" si="22"/>
        <v/>
      </c>
      <c r="H50" s="23" t="str">
        <f t="shared" si="22"/>
        <v/>
      </c>
      <c r="I50" s="23" t="str">
        <f t="shared" si="22"/>
        <v/>
      </c>
      <c r="J50" s="23" t="str">
        <f t="shared" si="22"/>
        <v/>
      </c>
      <c r="K50" s="23" t="str">
        <f t="shared" si="22"/>
        <v/>
      </c>
      <c r="L50" s="23">
        <f t="shared" si="22"/>
        <v>2</v>
      </c>
      <c r="M50" s="23">
        <f t="shared" si="22"/>
        <v>2</v>
      </c>
      <c r="N50" s="23" t="str">
        <f t="shared" si="22"/>
        <v/>
      </c>
      <c r="O50" s="23">
        <f t="shared" si="22"/>
        <v>1</v>
      </c>
      <c r="P50" s="23">
        <f t="shared" si="22"/>
        <v>1</v>
      </c>
      <c r="Q50" s="23" t="str">
        <f t="shared" si="22"/>
        <v/>
      </c>
      <c r="R50" s="23" t="str">
        <f t="shared" si="22"/>
        <v/>
      </c>
      <c r="S50" s="23" t="str">
        <f t="shared" si="22"/>
        <v/>
      </c>
      <c r="T50" s="23">
        <f t="shared" si="22"/>
        <v>2</v>
      </c>
      <c r="U50" s="23">
        <f t="shared" si="22"/>
        <v>2</v>
      </c>
      <c r="V50" s="23">
        <f t="shared" si="22"/>
        <v>2</v>
      </c>
      <c r="W50" s="23">
        <f t="shared" si="22"/>
        <v>2</v>
      </c>
      <c r="X50" s="23" t="str">
        <f t="shared" si="22"/>
        <v/>
      </c>
      <c r="Y50" s="23" t="str">
        <f t="shared" si="22"/>
        <v/>
      </c>
      <c r="Z50" s="23" t="str">
        <f t="shared" si="22"/>
        <v/>
      </c>
      <c r="AA50" s="23" t="str">
        <f t="shared" si="22"/>
        <v/>
      </c>
      <c r="AB50" s="23" t="str">
        <f t="shared" si="22"/>
        <v/>
      </c>
      <c r="AC50" s="23">
        <f t="shared" si="22"/>
        <v>1</v>
      </c>
      <c r="AD50" s="23" t="str">
        <f t="shared" si="22"/>
        <v/>
      </c>
      <c r="AE50" s="23" t="str">
        <f t="shared" si="22"/>
        <v/>
      </c>
      <c r="AF50" s="23">
        <f t="shared" si="22"/>
        <v>2</v>
      </c>
      <c r="AG50" s="23">
        <f t="shared" si="22"/>
        <v>2</v>
      </c>
      <c r="AH50" s="23">
        <f t="shared" si="22"/>
        <v>2</v>
      </c>
      <c r="AI50" s="23" t="str">
        <f t="shared" si="22"/>
        <v/>
      </c>
      <c r="AJ50" s="23" t="str">
        <f t="shared" si="22"/>
        <v/>
      </c>
      <c r="AK50" s="23">
        <f t="shared" si="22"/>
        <v>1</v>
      </c>
      <c r="AL50" s="23">
        <f t="shared" si="22"/>
        <v>1</v>
      </c>
      <c r="AM50" s="23" t="str">
        <f t="shared" si="22"/>
        <v/>
      </c>
    </row>
    <row r="51" spans="2:39" ht="18.95" customHeight="1" x14ac:dyDescent="0.3">
      <c r="B51" s="22" t="str">
        <f>IF(Job3_Name="","",Job3_Name)</f>
        <v>Job 3</v>
      </c>
      <c r="C51" s="23" t="str">
        <f t="shared" ref="C51:AM51" si="23">IF(OR(NOT(ISNUMBER(C47)),C47&lt;Job3_StartDate),"",IF(MID(Job3_Pattern,MOD(C47-Job3_StartDate,LEN(Job3_Pattern))+1,1)=Job3_Shift1_Code,1,IF(MID(Job3_Pattern,MOD(C47-Job3_StartDate,LEN(Job3_Pattern))+1,1)=Job3_Shift2_Code,2,IF(MID(Job3_Pattern,MOD(C47-Job3_StartDate,LEN(Job3_Pattern))+1,1)=Job3_Shift3_Code,3,""))))</f>
        <v/>
      </c>
      <c r="D51" s="23" t="str">
        <f t="shared" si="23"/>
        <v/>
      </c>
      <c r="E51" s="23" t="str">
        <f t="shared" si="23"/>
        <v/>
      </c>
      <c r="F51" s="23" t="str">
        <f t="shared" si="23"/>
        <v/>
      </c>
      <c r="G51" s="23" t="str">
        <f t="shared" si="23"/>
        <v/>
      </c>
      <c r="H51" s="23" t="str">
        <f t="shared" si="23"/>
        <v/>
      </c>
      <c r="I51" s="23" t="str">
        <f t="shared" si="23"/>
        <v/>
      </c>
      <c r="J51" s="23" t="str">
        <f t="shared" si="23"/>
        <v/>
      </c>
      <c r="K51" s="23" t="str">
        <f t="shared" si="23"/>
        <v/>
      </c>
      <c r="L51" s="23">
        <f t="shared" si="23"/>
        <v>3</v>
      </c>
      <c r="M51" s="23" t="str">
        <f t="shared" si="23"/>
        <v/>
      </c>
      <c r="N51" s="23" t="str">
        <f t="shared" si="23"/>
        <v/>
      </c>
      <c r="O51" s="23" t="str">
        <f t="shared" si="23"/>
        <v/>
      </c>
      <c r="P51" s="23" t="str">
        <f t="shared" si="23"/>
        <v/>
      </c>
      <c r="Q51" s="23" t="str">
        <f t="shared" si="23"/>
        <v/>
      </c>
      <c r="R51" s="23" t="str">
        <f t="shared" si="23"/>
        <v/>
      </c>
      <c r="S51" s="23">
        <f t="shared" si="23"/>
        <v>3</v>
      </c>
      <c r="T51" s="23">
        <f t="shared" si="23"/>
        <v>3</v>
      </c>
      <c r="U51" s="23" t="str">
        <f t="shared" si="23"/>
        <v/>
      </c>
      <c r="V51" s="23" t="str">
        <f t="shared" si="23"/>
        <v/>
      </c>
      <c r="W51" s="23" t="str">
        <f t="shared" si="23"/>
        <v/>
      </c>
      <c r="X51" s="23">
        <f t="shared" si="23"/>
        <v>3</v>
      </c>
      <c r="Y51" s="23">
        <f t="shared" si="23"/>
        <v>3</v>
      </c>
      <c r="Z51" s="23" t="str">
        <f t="shared" si="23"/>
        <v/>
      </c>
      <c r="AA51" s="23" t="str">
        <f t="shared" si="23"/>
        <v/>
      </c>
      <c r="AB51" s="23" t="str">
        <f t="shared" si="23"/>
        <v/>
      </c>
      <c r="AC51" s="23" t="str">
        <f t="shared" si="23"/>
        <v/>
      </c>
      <c r="AD51" s="23">
        <f t="shared" si="23"/>
        <v>3</v>
      </c>
      <c r="AE51" s="23">
        <f t="shared" si="23"/>
        <v>3</v>
      </c>
      <c r="AF51" s="23" t="str">
        <f t="shared" si="23"/>
        <v/>
      </c>
      <c r="AG51" s="23" t="str">
        <f t="shared" si="23"/>
        <v/>
      </c>
      <c r="AH51" s="23" t="str">
        <f t="shared" si="23"/>
        <v/>
      </c>
      <c r="AI51" s="23" t="str">
        <f t="shared" si="23"/>
        <v/>
      </c>
      <c r="AJ51" s="23">
        <f t="shared" si="23"/>
        <v>3</v>
      </c>
      <c r="AK51" s="23">
        <f t="shared" si="23"/>
        <v>3</v>
      </c>
      <c r="AL51" s="23">
        <f t="shared" si="23"/>
        <v>3</v>
      </c>
      <c r="AM51" s="23" t="str">
        <f t="shared" si="23"/>
        <v/>
      </c>
    </row>
    <row r="52" spans="2:39" ht="12" customHeight="1" x14ac:dyDescent="0.3"/>
    <row r="53" spans="2:39" s="16" customFormat="1" ht="18.95" customHeight="1" x14ac:dyDescent="0.3">
      <c r="B53" s="13">
        <f>DATE(CalendarYear,9,1)</f>
        <v>44075</v>
      </c>
      <c r="C53" s="14" t="str">
        <f>IF(DAY(SepSun1)=1,"",IF(AND(YEAR(SepSun1+1)=CalendarYear,MONTH(SepSun1+1)=9),SepSun1+1,""))</f>
        <v/>
      </c>
      <c r="D53" s="14" t="str">
        <f>IF(DAY(SepSun1)=1,"",IF(AND(YEAR(SepSun1+2)=CalendarYear,MONTH(SepSun1+2)=9),SepSun1+2,""))</f>
        <v/>
      </c>
      <c r="E53" s="14">
        <f>IF(DAY(SepSun1)=1,"",IF(AND(YEAR(SepSun1+3)=CalendarYear,MONTH(SepSun1+3)=9),SepSun1+3,""))</f>
        <v>44075</v>
      </c>
      <c r="F53" s="14">
        <f>IF(DAY(SepSun1)=1,"",IF(AND(YEAR(SepSun1+4)=CalendarYear,MONTH(SepSun1+4)=9),SepSun1+4,""))</f>
        <v>44076</v>
      </c>
      <c r="G53" s="14">
        <f>IF(DAY(SepSun1)=1,"",IF(AND(YEAR(SepSun1+5)=CalendarYear,MONTH(SepSun1+5)=9),SepSun1+5,""))</f>
        <v>44077</v>
      </c>
      <c r="H53" s="14">
        <f>IF(DAY(SepSun1)=1,"",IF(AND(YEAR(SepSun1+6)=CalendarYear,MONTH(SepSun1+6)=9),SepSun1+6,""))</f>
        <v>44078</v>
      </c>
      <c r="I53" s="14">
        <f>IF(DAY(SepSun1)=1,IF(AND(YEAR(SepSun1)=CalendarYear,MONTH(SepSun1)=9),SepSun1,""),IF(AND(YEAR(SepSun1+7)=CalendarYear,MONTH(SepSun1+7)=9),SepSun1+7,""))</f>
        <v>44079</v>
      </c>
      <c r="J53" s="14">
        <f>IF(DAY(SepSun1)=1,IF(AND(YEAR(SepSun1+1)=CalendarYear,MONTH(SepSun1+1)=9),SepSun1+1,""),IF(AND(YEAR(SepSun1+8)=CalendarYear,MONTH(SepSun1+8)=9),SepSun1+8,""))</f>
        <v>44080</v>
      </c>
      <c r="K53" s="14">
        <f>IF(DAY(SepSun1)=1,IF(AND(YEAR(SepSun1+2)=CalendarYear,MONTH(SepSun1+2)=9),SepSun1+2,""),IF(AND(YEAR(SepSun1+9)=CalendarYear,MONTH(SepSun1+9)=9),SepSun1+9,""))</f>
        <v>44081</v>
      </c>
      <c r="L53" s="14">
        <f>IF(DAY(SepSun1)=1,IF(AND(YEAR(SepSun1+3)=CalendarYear,MONTH(SepSun1+3)=9),SepSun1+3,""),IF(AND(YEAR(SepSun1+10)=CalendarYear,MONTH(SepSun1+10)=9),SepSun1+10,""))</f>
        <v>44082</v>
      </c>
      <c r="M53" s="14">
        <f>IF(DAY(SepSun1)=1,IF(AND(YEAR(SepSun1+4)=CalendarYear,MONTH(SepSun1+4)=9),SepSun1+4,""),IF(AND(YEAR(SepSun1+11)=CalendarYear,MONTH(SepSun1+11)=9),SepSun1+11,""))</f>
        <v>44083</v>
      </c>
      <c r="N53" s="14">
        <f>IF(DAY(SepSun1)=1,IF(AND(YEAR(SepSun1+5)=CalendarYear,MONTH(SepSun1+5)=9),SepSun1+5,""),IF(AND(YEAR(SepSun1+12)=CalendarYear,MONTH(SepSun1+12)=9),SepSun1+12,""))</f>
        <v>44084</v>
      </c>
      <c r="O53" s="14">
        <f>IF(DAY(SepSun1)=1,IF(AND(YEAR(SepSun1+6)=CalendarYear,MONTH(SepSun1+6)=9),SepSun1+6,""),IF(AND(YEAR(SepSun1+13)=CalendarYear,MONTH(SepSun1+13)=9),SepSun1+13,""))</f>
        <v>44085</v>
      </c>
      <c r="P53" s="14">
        <f>IF(DAY(SepSun1)=1,IF(AND(YEAR(SepSun1+7)=CalendarYear,MONTH(SepSun1+7)=9),SepSun1+7,""),IF(AND(YEAR(SepSun1+14)=CalendarYear,MONTH(SepSun1+14)=9),SepSun1+14,""))</f>
        <v>44086</v>
      </c>
      <c r="Q53" s="14">
        <f>IF(DAY(SepSun1)=1,IF(AND(YEAR(SepSun1+8)=CalendarYear,MONTH(SepSun1+8)=9),SepSun1+8,""),IF(AND(YEAR(SepSun1+15)=CalendarYear,MONTH(SepSun1+15)=9),SepSun1+15,""))</f>
        <v>44087</v>
      </c>
      <c r="R53" s="14">
        <f>IF(DAY(SepSun1)=1,IF(AND(YEAR(SepSun1+9)=CalendarYear,MONTH(SepSun1+9)=9),SepSun1+9,""),IF(AND(YEAR(SepSun1+16)=CalendarYear,MONTH(SepSun1+16)=9),SepSun1+16,""))</f>
        <v>44088</v>
      </c>
      <c r="S53" s="14">
        <f>IF(DAY(SepSun1)=1,IF(AND(YEAR(SepSun1+10)=CalendarYear,MONTH(SepSun1+10)=9),SepSun1+10,""),IF(AND(YEAR(SepSun1+17)=CalendarYear,MONTH(SepSun1+17)=9),SepSun1+17,""))</f>
        <v>44089</v>
      </c>
      <c r="T53" s="14">
        <f>IF(DAY(SepSun1)=1,IF(AND(YEAR(SepSun1+11)=CalendarYear,MONTH(SepSun1+11)=9),SepSun1+11,""),IF(AND(YEAR(SepSun1+18)=CalendarYear,MONTH(SepSun1+18)=9),SepSun1+18,""))</f>
        <v>44090</v>
      </c>
      <c r="U53" s="14">
        <f>IF(DAY(SepSun1)=1,IF(AND(YEAR(SepSun1+12)=CalendarYear,MONTH(SepSun1+12)=9),SepSun1+12,""),IF(AND(YEAR(SepSun1+19)=CalendarYear,MONTH(SepSun1+19)=9),SepSun1+19,""))</f>
        <v>44091</v>
      </c>
      <c r="V53" s="14">
        <f>IF(DAY(SepSun1)=1,IF(AND(YEAR(SepSun1+13)=CalendarYear,MONTH(SepSun1+13)=9),SepSun1+13,""),IF(AND(YEAR(SepSun1+20)=CalendarYear,MONTH(SepSun1+20)=9),SepSun1+20,""))</f>
        <v>44092</v>
      </c>
      <c r="W53" s="14">
        <f>IF(DAY(SepSun1)=1,IF(AND(YEAR(SepSun1+14)=CalendarYear,MONTH(SepSun1+14)=9),SepSun1+14,""),IF(AND(YEAR(SepSun1+21)=CalendarYear,MONTH(SepSun1+21)=9),SepSun1+21,""))</f>
        <v>44093</v>
      </c>
      <c r="X53" s="14">
        <f>IF(DAY(SepSun1)=1,IF(AND(YEAR(SepSun1+15)=CalendarYear,MONTH(SepSun1+15)=9),SepSun1+15,""),IF(AND(YEAR(SepSun1+22)=CalendarYear,MONTH(SepSun1+22)=9),SepSun1+22,""))</f>
        <v>44094</v>
      </c>
      <c r="Y53" s="14">
        <f>IF(DAY(SepSun1)=1,IF(AND(YEAR(SepSun1+16)=CalendarYear,MONTH(SepSun1+16)=9),SepSun1+16,""),IF(AND(YEAR(SepSun1+23)=CalendarYear,MONTH(SepSun1+23)=9),SepSun1+23,""))</f>
        <v>44095</v>
      </c>
      <c r="Z53" s="14">
        <f>IF(DAY(SepSun1)=1,IF(AND(YEAR(SepSun1+17)=CalendarYear,MONTH(SepSun1+17)=9),SepSun1+17,""),IF(AND(YEAR(SepSun1+24)=CalendarYear,MONTH(SepSun1+24)=9),SepSun1+24,""))</f>
        <v>44096</v>
      </c>
      <c r="AA53" s="14">
        <f>IF(DAY(SepSun1)=1,IF(AND(YEAR(SepSun1+18)=CalendarYear,MONTH(SepSun1+18)=9),SepSun1+18,""),IF(AND(YEAR(SepSun1+25)=CalendarYear,MONTH(SepSun1+25)=9),SepSun1+25,""))</f>
        <v>44097</v>
      </c>
      <c r="AB53" s="14">
        <f>IF(DAY(SepSun1)=1,IF(AND(YEAR(SepSun1+19)=CalendarYear,MONTH(SepSun1+19)=9),SepSun1+19,""),IF(AND(YEAR(SepSun1+26)=CalendarYear,MONTH(SepSun1+26)=9),SepSun1+26,""))</f>
        <v>44098</v>
      </c>
      <c r="AC53" s="14">
        <f>IF(DAY(SepSun1)=1,IF(AND(YEAR(SepSun1+20)=CalendarYear,MONTH(SepSun1+20)=9),SepSun1+20,""),IF(AND(YEAR(SepSun1+27)=CalendarYear,MONTH(SepSun1+27)=9),SepSun1+27,""))</f>
        <v>44099</v>
      </c>
      <c r="AD53" s="14">
        <f>IF(DAY(SepSun1)=1,IF(AND(YEAR(SepSun1+21)=CalendarYear,MONTH(SepSun1+21)=9),SepSun1+21,""),IF(AND(YEAR(SepSun1+28)=CalendarYear,MONTH(SepSun1+28)=9),SepSun1+28,""))</f>
        <v>44100</v>
      </c>
      <c r="AE53" s="14">
        <f>IF(DAY(SepSun1)=1,IF(AND(YEAR(SepSun1+22)=CalendarYear,MONTH(SepSun1+22)=9),SepSun1+22,""),IF(AND(YEAR(SepSun1+29)=CalendarYear,MONTH(SepSun1+29)=9),SepSun1+29,""))</f>
        <v>44101</v>
      </c>
      <c r="AF53" s="14">
        <f>IF(DAY(SepSun1)=1,IF(AND(YEAR(SepSun1+23)=CalendarYear,MONTH(SepSun1+23)=9),SepSun1+23,""),IF(AND(YEAR(SepSun1+30)=CalendarYear,MONTH(SepSun1+30)=9),SepSun1+30,""))</f>
        <v>44102</v>
      </c>
      <c r="AG53" s="14">
        <f>IF(DAY(SepSun1)=1,IF(AND(YEAR(SepSun1+24)=CalendarYear,MONTH(SepSun1+24)=9),SepSun1+24,""),IF(AND(YEAR(SepSun1+31)=CalendarYear,MONTH(SepSun1+31)=9),SepSun1+31,""))</f>
        <v>44103</v>
      </c>
      <c r="AH53" s="14">
        <f>IF(DAY(SepSun1)=1,IF(AND(YEAR(SepSun1+25)=CalendarYear,MONTH(SepSun1+25)=9),SepSun1+25,""),IF(AND(YEAR(SepSun1+32)=CalendarYear,MONTH(SepSun1+32)=9),SepSun1+32,""))</f>
        <v>44104</v>
      </c>
      <c r="AI53" s="14" t="str">
        <f>IF(DAY(SepSun1)=1,IF(AND(YEAR(SepSun1+26)=CalendarYear,MONTH(SepSun1+26)=9),SepSun1+26,""),IF(AND(YEAR(SepSun1+33)=CalendarYear,MONTH(SepSun1+33)=9),SepSun1+33,""))</f>
        <v/>
      </c>
      <c r="AJ53" s="14" t="str">
        <f>IF(DAY(SepSun1)=1,IF(AND(YEAR(SepSun1+27)=CalendarYear,MONTH(SepSun1+27)=9),SepSun1+27,""),IF(AND(YEAR(SepSun1+34)=CalendarYear,MONTH(SepSun1+34)=9),SepSun1+34,""))</f>
        <v/>
      </c>
      <c r="AK53" s="14" t="str">
        <f>IF(DAY(SepSun1)=1,IF(AND(YEAR(SepSun1+28)=CalendarYear,MONTH(SepSun1+28)=9),SepSun1+28,""),IF(AND(YEAR(SepSun1+35)=CalendarYear,MONTH(SepSun1+35)=9),SepSun1+35,""))</f>
        <v/>
      </c>
      <c r="AL53" s="14" t="str">
        <f>IF(DAY(SepSun1)=1,IF(AND(YEAR(SepSun1+29)=CalendarYear,MONTH(SepSun1+29)=9),SepSun1+29,""),IF(AND(YEAR(SepSun1+36)=CalendarYear,MONTH(SepSun1+36)=9),SepSun1+36,""))</f>
        <v/>
      </c>
      <c r="AM53" s="15" t="str">
        <f>IF(DAY(SepSun1)=1,IF(AND(YEAR(SepSun1+30)=CalendarYear,MONTH(SepSun1+30)=9),SepSun1+30,""),IF(AND(YEAR(SepSun1+37)=CalendarYear,MONTH(SepSun1+37)=9),SepSun1+37,""))</f>
        <v/>
      </c>
    </row>
    <row r="54" spans="2:39" s="16" customFormat="1" ht="18.95" customHeight="1" x14ac:dyDescent="0.3">
      <c r="B54" s="17"/>
      <c r="C54" s="18" t="s">
        <v>1</v>
      </c>
      <c r="D54" s="18" t="s">
        <v>2</v>
      </c>
      <c r="E54" s="18" t="s">
        <v>3</v>
      </c>
      <c r="F54" s="18" t="s">
        <v>4</v>
      </c>
      <c r="G54" s="18" t="s">
        <v>5</v>
      </c>
      <c r="H54" s="18" t="s">
        <v>6</v>
      </c>
      <c r="I54" s="18" t="s">
        <v>7</v>
      </c>
      <c r="J54" s="18" t="s">
        <v>1</v>
      </c>
      <c r="K54" s="18" t="s">
        <v>2</v>
      </c>
      <c r="L54" s="18" t="s">
        <v>3</v>
      </c>
      <c r="M54" s="18" t="s">
        <v>4</v>
      </c>
      <c r="N54" s="18" t="s">
        <v>5</v>
      </c>
      <c r="O54" s="18" t="s">
        <v>6</v>
      </c>
      <c r="P54" s="18" t="s">
        <v>7</v>
      </c>
      <c r="Q54" s="18" t="s">
        <v>1</v>
      </c>
      <c r="R54" s="18" t="s">
        <v>2</v>
      </c>
      <c r="S54" s="18" t="s">
        <v>3</v>
      </c>
      <c r="T54" s="18" t="s">
        <v>4</v>
      </c>
      <c r="U54" s="18" t="s">
        <v>5</v>
      </c>
      <c r="V54" s="18" t="s">
        <v>6</v>
      </c>
      <c r="W54" s="18" t="s">
        <v>7</v>
      </c>
      <c r="X54" s="18" t="s">
        <v>1</v>
      </c>
      <c r="Y54" s="18" t="s">
        <v>2</v>
      </c>
      <c r="Z54" s="18" t="s">
        <v>3</v>
      </c>
      <c r="AA54" s="18" t="s">
        <v>4</v>
      </c>
      <c r="AB54" s="18" t="s">
        <v>5</v>
      </c>
      <c r="AC54" s="18" t="s">
        <v>6</v>
      </c>
      <c r="AD54" s="18" t="s">
        <v>7</v>
      </c>
      <c r="AE54" s="18" t="s">
        <v>1</v>
      </c>
      <c r="AF54" s="18" t="s">
        <v>2</v>
      </c>
      <c r="AG54" s="18" t="s">
        <v>3</v>
      </c>
      <c r="AH54" s="18" t="s">
        <v>4</v>
      </c>
      <c r="AI54" s="18" t="s">
        <v>5</v>
      </c>
      <c r="AJ54" s="18" t="s">
        <v>6</v>
      </c>
      <c r="AK54" s="18" t="s">
        <v>7</v>
      </c>
      <c r="AL54" s="18" t="s">
        <v>1</v>
      </c>
      <c r="AM54" s="19" t="s">
        <v>2</v>
      </c>
    </row>
    <row r="55" spans="2:39" ht="18.95" customHeight="1" x14ac:dyDescent="0.3">
      <c r="B55" s="20" t="str">
        <f>IF(Job1_Name="","",Job1_Name)</f>
        <v>Job 1</v>
      </c>
      <c r="C55" s="21" t="str">
        <f t="shared" ref="C55:AM55" si="24">IF(OR(NOT(ISNUMBER(C53)),C53&lt;Job1_StartDate),"",IF(MID(Job1_Pattern,MOD(C53-Job1_StartDate,LEN(Job1_Pattern))+1,1)=Job1_Shift1_Code,1,IF(MID(Job1_Pattern,MOD(C53-Job1_StartDate,LEN(Job1_Pattern))+1,1)=Job1_Shift2_Code,2,IF(MID(Job1_Pattern,MOD(C53-Job1_StartDate,LEN(Job1_Pattern))+1,1)=Job1_Shift3_Code,3,""))))</f>
        <v/>
      </c>
      <c r="D55" s="21" t="str">
        <f t="shared" si="24"/>
        <v/>
      </c>
      <c r="E55" s="21">
        <f t="shared" si="24"/>
        <v>1</v>
      </c>
      <c r="F55" s="21">
        <f t="shared" si="24"/>
        <v>1</v>
      </c>
      <c r="G55" s="21">
        <f t="shared" si="24"/>
        <v>1</v>
      </c>
      <c r="H55" s="21">
        <f t="shared" si="24"/>
        <v>1</v>
      </c>
      <c r="I55" s="21" t="str">
        <f t="shared" si="24"/>
        <v/>
      </c>
      <c r="J55" s="21" t="str">
        <f t="shared" si="24"/>
        <v/>
      </c>
      <c r="K55" s="21">
        <f t="shared" si="24"/>
        <v>2</v>
      </c>
      <c r="L55" s="21">
        <f t="shared" si="24"/>
        <v>2</v>
      </c>
      <c r="M55" s="21">
        <f t="shared" si="24"/>
        <v>2</v>
      </c>
      <c r="N55" s="21">
        <f t="shared" si="24"/>
        <v>2</v>
      </c>
      <c r="O55" s="21" t="str">
        <f t="shared" si="24"/>
        <v/>
      </c>
      <c r="P55" s="21" t="str">
        <f t="shared" si="24"/>
        <v/>
      </c>
      <c r="Q55" s="21">
        <f t="shared" si="24"/>
        <v>1</v>
      </c>
      <c r="R55" s="21">
        <f t="shared" si="24"/>
        <v>1</v>
      </c>
      <c r="S55" s="21">
        <f t="shared" si="24"/>
        <v>1</v>
      </c>
      <c r="T55" s="21" t="str">
        <f t="shared" si="24"/>
        <v/>
      </c>
      <c r="U55" s="21">
        <f t="shared" si="24"/>
        <v>2</v>
      </c>
      <c r="V55" s="21">
        <f t="shared" si="24"/>
        <v>2</v>
      </c>
      <c r="W55" s="21">
        <f t="shared" si="24"/>
        <v>2</v>
      </c>
      <c r="X55" s="21" t="str">
        <f t="shared" si="24"/>
        <v/>
      </c>
      <c r="Y55" s="21" t="str">
        <f t="shared" si="24"/>
        <v/>
      </c>
      <c r="Z55" s="21" t="str">
        <f t="shared" si="24"/>
        <v/>
      </c>
      <c r="AA55" s="21">
        <f t="shared" si="24"/>
        <v>1</v>
      </c>
      <c r="AB55" s="21">
        <f t="shared" si="24"/>
        <v>1</v>
      </c>
      <c r="AC55" s="21" t="str">
        <f t="shared" si="24"/>
        <v/>
      </c>
      <c r="AD55" s="21">
        <f t="shared" si="24"/>
        <v>2</v>
      </c>
      <c r="AE55" s="21">
        <f t="shared" si="24"/>
        <v>2</v>
      </c>
      <c r="AF55" s="21" t="str">
        <f t="shared" si="24"/>
        <v/>
      </c>
      <c r="AG55" s="21" t="str">
        <f t="shared" si="24"/>
        <v/>
      </c>
      <c r="AH55" s="21" t="str">
        <f t="shared" si="24"/>
        <v/>
      </c>
      <c r="AI55" s="21" t="str">
        <f t="shared" si="24"/>
        <v/>
      </c>
      <c r="AJ55" s="21" t="str">
        <f t="shared" si="24"/>
        <v/>
      </c>
      <c r="AK55" s="21" t="str">
        <f t="shared" si="24"/>
        <v/>
      </c>
      <c r="AL55" s="21" t="str">
        <f t="shared" si="24"/>
        <v/>
      </c>
      <c r="AM55" s="21" t="str">
        <f t="shared" si="24"/>
        <v/>
      </c>
    </row>
    <row r="56" spans="2:39" ht="18.95" customHeight="1" x14ac:dyDescent="0.3">
      <c r="B56" s="22" t="str">
        <f>IF(Job2_Name="","",Job2_Name)</f>
        <v>Job 2</v>
      </c>
      <c r="C56" s="23" t="str">
        <f t="shared" ref="C56:AM56" si="25">IF(OR(NOT(ISNUMBER(C53)),C53&lt;Job2_StartDate),"",IF(MID(Job2_Pattern,MOD(C53-Job2_StartDate,LEN(Job2_Pattern))+1,1)=Job2_Shift1_Code,1,IF(MID(Job2_Pattern,MOD(C53-Job2_StartDate,LEN(Job2_Pattern))+1,1)=Job2_Shift2_Code,2,IF(MID(Job2_Pattern,MOD(C53-Job2_StartDate,LEN(Job2_Pattern))+1,1)=Job2_Shift3_Code,3,""))))</f>
        <v/>
      </c>
      <c r="D56" s="23" t="str">
        <f t="shared" si="25"/>
        <v/>
      </c>
      <c r="E56" s="23" t="str">
        <f t="shared" si="25"/>
        <v/>
      </c>
      <c r="F56" s="23" t="str">
        <f t="shared" si="25"/>
        <v/>
      </c>
      <c r="G56" s="23">
        <f t="shared" si="25"/>
        <v>2</v>
      </c>
      <c r="H56" s="23">
        <f t="shared" si="25"/>
        <v>2</v>
      </c>
      <c r="I56" s="23" t="str">
        <f t="shared" si="25"/>
        <v/>
      </c>
      <c r="J56" s="23">
        <f t="shared" si="25"/>
        <v>1</v>
      </c>
      <c r="K56" s="23">
        <f t="shared" si="25"/>
        <v>1</v>
      </c>
      <c r="L56" s="23" t="str">
        <f t="shared" si="25"/>
        <v/>
      </c>
      <c r="M56" s="23" t="str">
        <f t="shared" si="25"/>
        <v/>
      </c>
      <c r="N56" s="23" t="str">
        <f t="shared" si="25"/>
        <v/>
      </c>
      <c r="O56" s="23">
        <f t="shared" si="25"/>
        <v>2</v>
      </c>
      <c r="P56" s="23">
        <f t="shared" si="25"/>
        <v>2</v>
      </c>
      <c r="Q56" s="23">
        <f t="shared" si="25"/>
        <v>2</v>
      </c>
      <c r="R56" s="23">
        <f t="shared" si="25"/>
        <v>2</v>
      </c>
      <c r="S56" s="23" t="str">
        <f t="shared" si="25"/>
        <v/>
      </c>
      <c r="T56" s="23" t="str">
        <f t="shared" si="25"/>
        <v/>
      </c>
      <c r="U56" s="23" t="str">
        <f t="shared" si="25"/>
        <v/>
      </c>
      <c r="V56" s="23" t="str">
        <f t="shared" si="25"/>
        <v/>
      </c>
      <c r="W56" s="23" t="str">
        <f t="shared" si="25"/>
        <v/>
      </c>
      <c r="X56" s="23">
        <f t="shared" si="25"/>
        <v>1</v>
      </c>
      <c r="Y56" s="23" t="str">
        <f t="shared" si="25"/>
        <v/>
      </c>
      <c r="Z56" s="23" t="str">
        <f t="shared" si="25"/>
        <v/>
      </c>
      <c r="AA56" s="23">
        <f t="shared" si="25"/>
        <v>2</v>
      </c>
      <c r="AB56" s="23">
        <f t="shared" si="25"/>
        <v>2</v>
      </c>
      <c r="AC56" s="23">
        <f t="shared" si="25"/>
        <v>2</v>
      </c>
      <c r="AD56" s="23" t="str">
        <f t="shared" si="25"/>
        <v/>
      </c>
      <c r="AE56" s="23" t="str">
        <f t="shared" si="25"/>
        <v/>
      </c>
      <c r="AF56" s="23">
        <f t="shared" si="25"/>
        <v>1</v>
      </c>
      <c r="AG56" s="23">
        <f t="shared" si="25"/>
        <v>1</v>
      </c>
      <c r="AH56" s="23" t="str">
        <f t="shared" si="25"/>
        <v/>
      </c>
      <c r="AI56" s="23" t="str">
        <f t="shared" si="25"/>
        <v/>
      </c>
      <c r="AJ56" s="23" t="str">
        <f t="shared" si="25"/>
        <v/>
      </c>
      <c r="AK56" s="23" t="str">
        <f t="shared" si="25"/>
        <v/>
      </c>
      <c r="AL56" s="23" t="str">
        <f t="shared" si="25"/>
        <v/>
      </c>
      <c r="AM56" s="23" t="str">
        <f t="shared" si="25"/>
        <v/>
      </c>
    </row>
    <row r="57" spans="2:39" ht="18.95" customHeight="1" x14ac:dyDescent="0.3">
      <c r="B57" s="22" t="str">
        <f>IF(Job3_Name="","",Job3_Name)</f>
        <v>Job 3</v>
      </c>
      <c r="C57" s="23" t="str">
        <f t="shared" ref="C57:AM57" si="26">IF(OR(NOT(ISNUMBER(C53)),C53&lt;Job3_StartDate),"",IF(MID(Job3_Pattern,MOD(C53-Job3_StartDate,LEN(Job3_Pattern))+1,1)=Job3_Shift1_Code,1,IF(MID(Job3_Pattern,MOD(C53-Job3_StartDate,LEN(Job3_Pattern))+1,1)=Job3_Shift2_Code,2,IF(MID(Job3_Pattern,MOD(C53-Job3_StartDate,LEN(Job3_Pattern))+1,1)=Job3_Shift3_Code,3,""))))</f>
        <v/>
      </c>
      <c r="D57" s="23" t="str">
        <f t="shared" si="26"/>
        <v/>
      </c>
      <c r="E57" s="23" t="str">
        <f t="shared" si="26"/>
        <v/>
      </c>
      <c r="F57" s="23" t="str">
        <f t="shared" si="26"/>
        <v/>
      </c>
      <c r="G57" s="23">
        <f t="shared" si="26"/>
        <v>3</v>
      </c>
      <c r="H57" s="23" t="str">
        <f t="shared" si="26"/>
        <v/>
      </c>
      <c r="I57" s="23" t="str">
        <f t="shared" si="26"/>
        <v/>
      </c>
      <c r="J57" s="23" t="str">
        <f t="shared" si="26"/>
        <v/>
      </c>
      <c r="K57" s="23" t="str">
        <f t="shared" si="26"/>
        <v/>
      </c>
      <c r="L57" s="23" t="str">
        <f t="shared" si="26"/>
        <v/>
      </c>
      <c r="M57" s="23" t="str">
        <f t="shared" si="26"/>
        <v/>
      </c>
      <c r="N57" s="23">
        <f t="shared" si="26"/>
        <v>3</v>
      </c>
      <c r="O57" s="23">
        <f t="shared" si="26"/>
        <v>3</v>
      </c>
      <c r="P57" s="23" t="str">
        <f t="shared" si="26"/>
        <v/>
      </c>
      <c r="Q57" s="23" t="str">
        <f t="shared" si="26"/>
        <v/>
      </c>
      <c r="R57" s="23" t="str">
        <f t="shared" si="26"/>
        <v/>
      </c>
      <c r="S57" s="23">
        <f t="shared" si="26"/>
        <v>3</v>
      </c>
      <c r="T57" s="23">
        <f t="shared" si="26"/>
        <v>3</v>
      </c>
      <c r="U57" s="23" t="str">
        <f t="shared" si="26"/>
        <v/>
      </c>
      <c r="V57" s="23" t="str">
        <f t="shared" si="26"/>
        <v/>
      </c>
      <c r="W57" s="23" t="str">
        <f t="shared" si="26"/>
        <v/>
      </c>
      <c r="X57" s="23" t="str">
        <f t="shared" si="26"/>
        <v/>
      </c>
      <c r="Y57" s="23">
        <f t="shared" si="26"/>
        <v>3</v>
      </c>
      <c r="Z57" s="23">
        <f t="shared" si="26"/>
        <v>3</v>
      </c>
      <c r="AA57" s="23" t="str">
        <f t="shared" si="26"/>
        <v/>
      </c>
      <c r="AB57" s="23" t="str">
        <f t="shared" si="26"/>
        <v/>
      </c>
      <c r="AC57" s="23" t="str">
        <f t="shared" si="26"/>
        <v/>
      </c>
      <c r="AD57" s="23" t="str">
        <f t="shared" si="26"/>
        <v/>
      </c>
      <c r="AE57" s="23">
        <f t="shared" si="26"/>
        <v>3</v>
      </c>
      <c r="AF57" s="23">
        <f t="shared" si="26"/>
        <v>3</v>
      </c>
      <c r="AG57" s="23">
        <f t="shared" si="26"/>
        <v>3</v>
      </c>
      <c r="AH57" s="23" t="str">
        <f t="shared" si="26"/>
        <v/>
      </c>
      <c r="AI57" s="23" t="str">
        <f t="shared" si="26"/>
        <v/>
      </c>
      <c r="AJ57" s="23" t="str">
        <f t="shared" si="26"/>
        <v/>
      </c>
      <c r="AK57" s="23" t="str">
        <f t="shared" si="26"/>
        <v/>
      </c>
      <c r="AL57" s="23" t="str">
        <f t="shared" si="26"/>
        <v/>
      </c>
      <c r="AM57" s="23" t="str">
        <f t="shared" si="26"/>
        <v/>
      </c>
    </row>
    <row r="58" spans="2:39" ht="12" customHeight="1" x14ac:dyDescent="0.3"/>
    <row r="59" spans="2:39" s="16" customFormat="1" ht="18.95" customHeight="1" x14ac:dyDescent="0.3">
      <c r="B59" s="13">
        <f>DATE(CalendarYear,10,1)</f>
        <v>44105</v>
      </c>
      <c r="C59" s="14" t="str">
        <f>IF(DAY(OctSun1)=1,"",IF(AND(YEAR(OctSun1+1)=CalendarYear,MONTH(OctSun1+1)=10),OctSun1+1,""))</f>
        <v/>
      </c>
      <c r="D59" s="14" t="str">
        <f>IF(DAY(OctSun1)=1,"",IF(AND(YEAR(OctSun1+2)=CalendarYear,MONTH(OctSun1+2)=10),OctSun1+2,""))</f>
        <v/>
      </c>
      <c r="E59" s="14" t="str">
        <f>IF(DAY(OctSun1)=1,"",IF(AND(YEAR(OctSun1+3)=CalendarYear,MONTH(OctSun1+3)=10),OctSun1+3,""))</f>
        <v/>
      </c>
      <c r="F59" s="14" t="str">
        <f>IF(DAY(OctSun1)=1,"",IF(AND(YEAR(OctSun1+4)=CalendarYear,MONTH(OctSun1+4)=10),OctSun1+4,""))</f>
        <v/>
      </c>
      <c r="G59" s="14">
        <f>IF(DAY(OctSun1)=1,"",IF(AND(YEAR(OctSun1+5)=CalendarYear,MONTH(OctSun1+5)=10),OctSun1+5,""))</f>
        <v>44105</v>
      </c>
      <c r="H59" s="14">
        <f>IF(DAY(OctSun1)=1,"",IF(AND(YEAR(OctSun1+6)=CalendarYear,MONTH(OctSun1+6)=10),OctSun1+6,""))</f>
        <v>44106</v>
      </c>
      <c r="I59" s="14">
        <f>IF(DAY(OctSun1)=1,IF(AND(YEAR(OctSun1)=CalendarYear,MONTH(OctSun1)=10),OctSun1,""),IF(AND(YEAR(OctSun1+7)=CalendarYear,MONTH(OctSun1+7)=10),OctSun1+7,""))</f>
        <v>44107</v>
      </c>
      <c r="J59" s="14">
        <f>IF(DAY(OctSun1)=1,IF(AND(YEAR(OctSun1+1)=CalendarYear,MONTH(OctSun1+1)=10),OctSun1+1,""),IF(AND(YEAR(OctSun1+8)=CalendarYear,MONTH(OctSun1+8)=10),OctSun1+8,""))</f>
        <v>44108</v>
      </c>
      <c r="K59" s="14">
        <f>IF(DAY(OctSun1)=1,IF(AND(YEAR(OctSun1+2)=CalendarYear,MONTH(OctSun1+2)=10),OctSun1+2,""),IF(AND(YEAR(OctSun1+9)=CalendarYear,MONTH(OctSun1+9)=10),OctSun1+9,""))</f>
        <v>44109</v>
      </c>
      <c r="L59" s="14">
        <f>IF(DAY(OctSun1)=1,IF(AND(YEAR(OctSun1+3)=CalendarYear,MONTH(OctSun1+3)=10),OctSun1+3,""),IF(AND(YEAR(OctSun1+10)=CalendarYear,MONTH(OctSun1+10)=10),OctSun1+10,""))</f>
        <v>44110</v>
      </c>
      <c r="M59" s="14">
        <f>IF(DAY(OctSun1)=1,IF(AND(YEAR(OctSun1+4)=CalendarYear,MONTH(OctSun1+4)=10),OctSun1+4,""),IF(AND(YEAR(OctSun1+11)=CalendarYear,MONTH(OctSun1+11)=10),OctSun1+11,""))</f>
        <v>44111</v>
      </c>
      <c r="N59" s="14">
        <f>IF(DAY(OctSun1)=1,IF(AND(YEAR(OctSun1+5)=CalendarYear,MONTH(OctSun1+5)=10),OctSun1+5,""),IF(AND(YEAR(OctSun1+12)=CalendarYear,MONTH(OctSun1+12)=10),OctSun1+12,""))</f>
        <v>44112</v>
      </c>
      <c r="O59" s="14">
        <f>IF(DAY(OctSun1)=1,IF(AND(YEAR(OctSun1+6)=CalendarYear,MONTH(OctSun1+6)=10),OctSun1+6,""),IF(AND(YEAR(OctSun1+13)=CalendarYear,MONTH(OctSun1+13)=10),OctSun1+13,""))</f>
        <v>44113</v>
      </c>
      <c r="P59" s="14">
        <f>IF(DAY(OctSun1)=1,IF(AND(YEAR(OctSun1+7)=CalendarYear,MONTH(OctSun1+7)=10),OctSun1+7,""),IF(AND(YEAR(OctSun1+14)=CalendarYear,MONTH(OctSun1+14)=10),OctSun1+14,""))</f>
        <v>44114</v>
      </c>
      <c r="Q59" s="14">
        <f>IF(DAY(OctSun1)=1,IF(AND(YEAR(OctSun1+8)=CalendarYear,MONTH(OctSun1+8)=10),OctSun1+8,""),IF(AND(YEAR(OctSun1+15)=CalendarYear,MONTH(OctSun1+15)=10),OctSun1+15,""))</f>
        <v>44115</v>
      </c>
      <c r="R59" s="14">
        <f>IF(DAY(OctSun1)=1,IF(AND(YEAR(OctSun1+9)=CalendarYear,MONTH(OctSun1+9)=10),OctSun1+9,""),IF(AND(YEAR(OctSun1+16)=CalendarYear,MONTH(OctSun1+16)=10),OctSun1+16,""))</f>
        <v>44116</v>
      </c>
      <c r="S59" s="14">
        <f>IF(DAY(OctSun1)=1,IF(AND(YEAR(OctSun1+10)=CalendarYear,MONTH(OctSun1+10)=10),OctSun1+10,""),IF(AND(YEAR(OctSun1+17)=CalendarYear,MONTH(OctSun1+17)=10),OctSun1+17,""))</f>
        <v>44117</v>
      </c>
      <c r="T59" s="14">
        <f>IF(DAY(OctSun1)=1,IF(AND(YEAR(OctSun1+11)=CalendarYear,MONTH(OctSun1+11)=10),OctSun1+11,""),IF(AND(YEAR(OctSun1+18)=CalendarYear,MONTH(OctSun1+18)=10),OctSun1+18,""))</f>
        <v>44118</v>
      </c>
      <c r="U59" s="14">
        <f>IF(DAY(OctSun1)=1,IF(AND(YEAR(OctSun1+12)=CalendarYear,MONTH(OctSun1+12)=10),OctSun1+12,""),IF(AND(YEAR(OctSun1+19)=CalendarYear,MONTH(OctSun1+19)=10),OctSun1+19,""))</f>
        <v>44119</v>
      </c>
      <c r="V59" s="14">
        <f>IF(DAY(OctSun1)=1,IF(AND(YEAR(OctSun1+13)=CalendarYear,MONTH(OctSun1+13)=10),OctSun1+13,""),IF(AND(YEAR(OctSun1+20)=CalendarYear,MONTH(OctSun1+20)=10),OctSun1+20,""))</f>
        <v>44120</v>
      </c>
      <c r="W59" s="14">
        <f>IF(DAY(OctSun1)=1,IF(AND(YEAR(OctSun1+14)=CalendarYear,MONTH(OctSun1+14)=10),OctSun1+14,""),IF(AND(YEAR(OctSun1+21)=CalendarYear,MONTH(OctSun1+21)=10),OctSun1+21,""))</f>
        <v>44121</v>
      </c>
      <c r="X59" s="14">
        <f>IF(DAY(OctSun1)=1,IF(AND(YEAR(OctSun1+15)=CalendarYear,MONTH(OctSun1+15)=10),OctSun1+15,""),IF(AND(YEAR(OctSun1+22)=CalendarYear,MONTH(OctSun1+22)=10),OctSun1+22,""))</f>
        <v>44122</v>
      </c>
      <c r="Y59" s="14">
        <f>IF(DAY(OctSun1)=1,IF(AND(YEAR(OctSun1+16)=CalendarYear,MONTH(OctSun1+16)=10),OctSun1+16,""),IF(AND(YEAR(OctSun1+23)=CalendarYear,MONTH(OctSun1+23)=10),OctSun1+23,""))</f>
        <v>44123</v>
      </c>
      <c r="Z59" s="14">
        <f>IF(DAY(OctSun1)=1,IF(AND(YEAR(OctSun1+17)=CalendarYear,MONTH(OctSun1+17)=10),OctSun1+17,""),IF(AND(YEAR(OctSun1+24)=CalendarYear,MONTH(OctSun1+24)=10),OctSun1+24,""))</f>
        <v>44124</v>
      </c>
      <c r="AA59" s="14">
        <f>IF(DAY(OctSun1)=1,IF(AND(YEAR(OctSun1+18)=CalendarYear,MONTH(OctSun1+18)=10),OctSun1+18,""),IF(AND(YEAR(OctSun1+25)=CalendarYear,MONTH(OctSun1+25)=10),OctSun1+25,""))</f>
        <v>44125</v>
      </c>
      <c r="AB59" s="14">
        <f>IF(DAY(OctSun1)=1,IF(AND(YEAR(OctSun1+19)=CalendarYear,MONTH(OctSun1+19)=10),OctSun1+19,""),IF(AND(YEAR(OctSun1+26)=CalendarYear,MONTH(OctSun1+26)=10),OctSun1+26,""))</f>
        <v>44126</v>
      </c>
      <c r="AC59" s="14">
        <f>IF(DAY(OctSun1)=1,IF(AND(YEAR(OctSun1+20)=CalendarYear,MONTH(OctSun1+20)=10),OctSun1+20,""),IF(AND(YEAR(OctSun1+27)=CalendarYear,MONTH(OctSun1+27)=10),OctSun1+27,""))</f>
        <v>44127</v>
      </c>
      <c r="AD59" s="14">
        <f>IF(DAY(OctSun1)=1,IF(AND(YEAR(OctSun1+21)=CalendarYear,MONTH(OctSun1+21)=10),OctSun1+21,""),IF(AND(YEAR(OctSun1+28)=CalendarYear,MONTH(OctSun1+28)=10),OctSun1+28,""))</f>
        <v>44128</v>
      </c>
      <c r="AE59" s="14">
        <f>IF(DAY(OctSun1)=1,IF(AND(YEAR(OctSun1+22)=CalendarYear,MONTH(OctSun1+22)=10),OctSun1+22,""),IF(AND(YEAR(OctSun1+29)=CalendarYear,MONTH(OctSun1+29)=10),OctSun1+29,""))</f>
        <v>44129</v>
      </c>
      <c r="AF59" s="14">
        <f>IF(DAY(OctSun1)=1,IF(AND(YEAR(OctSun1+23)=CalendarYear,MONTH(OctSun1+23)=10),OctSun1+23,""),IF(AND(YEAR(OctSun1+30)=CalendarYear,MONTH(OctSun1+30)=10),OctSun1+30,""))</f>
        <v>44130</v>
      </c>
      <c r="AG59" s="14">
        <f>IF(DAY(OctSun1)=1,IF(AND(YEAR(OctSun1+24)=CalendarYear,MONTH(OctSun1+24)=10),OctSun1+24,""),IF(AND(YEAR(OctSun1+31)=CalendarYear,MONTH(OctSun1+31)=10),OctSun1+31,""))</f>
        <v>44131</v>
      </c>
      <c r="AH59" s="14">
        <f>IF(DAY(OctSun1)=1,IF(AND(YEAR(OctSun1+25)=CalendarYear,MONTH(OctSun1+25)=10),OctSun1+25,""),IF(AND(YEAR(OctSun1+32)=CalendarYear,MONTH(OctSun1+32)=10),OctSun1+32,""))</f>
        <v>44132</v>
      </c>
      <c r="AI59" s="14">
        <f>IF(DAY(OctSun1)=1,IF(AND(YEAR(OctSun1+26)=CalendarYear,MONTH(OctSun1+26)=10),OctSun1+26,""),IF(AND(YEAR(OctSun1+33)=CalendarYear,MONTH(OctSun1+33)=10),OctSun1+33,""))</f>
        <v>44133</v>
      </c>
      <c r="AJ59" s="14">
        <f>IF(DAY(OctSun1)=1,IF(AND(YEAR(OctSun1+27)=CalendarYear,MONTH(OctSun1+27)=10),OctSun1+27,""),IF(AND(YEAR(OctSun1+34)=CalendarYear,MONTH(OctSun1+34)=10),OctSun1+34,""))</f>
        <v>44134</v>
      </c>
      <c r="AK59" s="14">
        <f>IF(DAY(OctSun1)=1,IF(AND(YEAR(OctSun1+28)=CalendarYear,MONTH(OctSun1+28)=10),OctSun1+28,""),IF(AND(YEAR(OctSun1+35)=CalendarYear,MONTH(OctSun1+35)=10),OctSun1+35,""))</f>
        <v>44135</v>
      </c>
      <c r="AL59" s="14" t="str">
        <f>IF(DAY(OctSun1)=1,IF(AND(YEAR(OctSun1+29)=CalendarYear,MONTH(OctSun1+29)=10),OctSun1+29,""),IF(AND(YEAR(OctSun1+36)=CalendarYear,MONTH(OctSun1+36)=10),OctSun1+36,""))</f>
        <v/>
      </c>
      <c r="AM59" s="15" t="str">
        <f>IF(DAY(OctSun1)=1,IF(AND(YEAR(OctSun1+30)=CalendarYear,MONTH(OctSun1+30)=10),OctSun1+30,""),IF(AND(YEAR(OctSun1+37)=CalendarYear,MONTH(OctSun1+37)=10),OctSun1+37,""))</f>
        <v/>
      </c>
    </row>
    <row r="60" spans="2:39" s="16" customFormat="1" ht="18.95" customHeight="1" x14ac:dyDescent="0.3">
      <c r="B60" s="17"/>
      <c r="C60" s="18" t="s">
        <v>1</v>
      </c>
      <c r="D60" s="18" t="s">
        <v>2</v>
      </c>
      <c r="E60" s="18" t="s">
        <v>3</v>
      </c>
      <c r="F60" s="18" t="s">
        <v>4</v>
      </c>
      <c r="G60" s="18" t="s">
        <v>5</v>
      </c>
      <c r="H60" s="18" t="s">
        <v>6</v>
      </c>
      <c r="I60" s="18" t="s">
        <v>7</v>
      </c>
      <c r="J60" s="18" t="s">
        <v>1</v>
      </c>
      <c r="K60" s="18" t="s">
        <v>2</v>
      </c>
      <c r="L60" s="18" t="s">
        <v>3</v>
      </c>
      <c r="M60" s="18" t="s">
        <v>4</v>
      </c>
      <c r="N60" s="18" t="s">
        <v>5</v>
      </c>
      <c r="O60" s="18" t="s">
        <v>6</v>
      </c>
      <c r="P60" s="18" t="s">
        <v>7</v>
      </c>
      <c r="Q60" s="18" t="s">
        <v>1</v>
      </c>
      <c r="R60" s="18" t="s">
        <v>2</v>
      </c>
      <c r="S60" s="18" t="s">
        <v>3</v>
      </c>
      <c r="T60" s="18" t="s">
        <v>4</v>
      </c>
      <c r="U60" s="18" t="s">
        <v>5</v>
      </c>
      <c r="V60" s="18" t="s">
        <v>6</v>
      </c>
      <c r="W60" s="18" t="s">
        <v>7</v>
      </c>
      <c r="X60" s="18" t="s">
        <v>1</v>
      </c>
      <c r="Y60" s="18" t="s">
        <v>2</v>
      </c>
      <c r="Z60" s="18" t="s">
        <v>3</v>
      </c>
      <c r="AA60" s="18" t="s">
        <v>4</v>
      </c>
      <c r="AB60" s="18" t="s">
        <v>5</v>
      </c>
      <c r="AC60" s="18" t="s">
        <v>6</v>
      </c>
      <c r="AD60" s="18" t="s">
        <v>7</v>
      </c>
      <c r="AE60" s="18" t="s">
        <v>1</v>
      </c>
      <c r="AF60" s="18" t="s">
        <v>2</v>
      </c>
      <c r="AG60" s="18" t="s">
        <v>3</v>
      </c>
      <c r="AH60" s="18" t="s">
        <v>4</v>
      </c>
      <c r="AI60" s="18" t="s">
        <v>5</v>
      </c>
      <c r="AJ60" s="18" t="s">
        <v>6</v>
      </c>
      <c r="AK60" s="18" t="s">
        <v>7</v>
      </c>
      <c r="AL60" s="18" t="s">
        <v>1</v>
      </c>
      <c r="AM60" s="19" t="s">
        <v>2</v>
      </c>
    </row>
    <row r="61" spans="2:39" ht="18.95" customHeight="1" x14ac:dyDescent="0.3">
      <c r="B61" s="20" t="str">
        <f>IF(Job1_Name="","",Job1_Name)</f>
        <v>Job 1</v>
      </c>
      <c r="C61" s="21" t="str">
        <f t="shared" ref="C61:AM61" si="27">IF(OR(NOT(ISNUMBER(C59)),C59&lt;Job1_StartDate),"",IF(MID(Job1_Pattern,MOD(C59-Job1_StartDate,LEN(Job1_Pattern))+1,1)=Job1_Shift1_Code,1,IF(MID(Job1_Pattern,MOD(C59-Job1_StartDate,LEN(Job1_Pattern))+1,1)=Job1_Shift2_Code,2,IF(MID(Job1_Pattern,MOD(C59-Job1_StartDate,LEN(Job1_Pattern))+1,1)=Job1_Shift3_Code,3,""))))</f>
        <v/>
      </c>
      <c r="D61" s="21" t="str">
        <f t="shared" si="27"/>
        <v/>
      </c>
      <c r="E61" s="21" t="str">
        <f t="shared" si="27"/>
        <v/>
      </c>
      <c r="F61" s="21" t="str">
        <f t="shared" si="27"/>
        <v/>
      </c>
      <c r="G61" s="21">
        <f t="shared" si="27"/>
        <v>1</v>
      </c>
      <c r="H61" s="21">
        <f t="shared" si="27"/>
        <v>1</v>
      </c>
      <c r="I61" s="21">
        <f t="shared" si="27"/>
        <v>1</v>
      </c>
      <c r="J61" s="21">
        <f t="shared" si="27"/>
        <v>1</v>
      </c>
      <c r="K61" s="21" t="str">
        <f t="shared" si="27"/>
        <v/>
      </c>
      <c r="L61" s="21" t="str">
        <f t="shared" si="27"/>
        <v/>
      </c>
      <c r="M61" s="21">
        <f t="shared" si="27"/>
        <v>2</v>
      </c>
      <c r="N61" s="21">
        <f t="shared" si="27"/>
        <v>2</v>
      </c>
      <c r="O61" s="21">
        <f t="shared" si="27"/>
        <v>2</v>
      </c>
      <c r="P61" s="21">
        <f t="shared" si="27"/>
        <v>2</v>
      </c>
      <c r="Q61" s="21" t="str">
        <f t="shared" si="27"/>
        <v/>
      </c>
      <c r="R61" s="21" t="str">
        <f t="shared" si="27"/>
        <v/>
      </c>
      <c r="S61" s="21">
        <f t="shared" si="27"/>
        <v>1</v>
      </c>
      <c r="T61" s="21">
        <f t="shared" si="27"/>
        <v>1</v>
      </c>
      <c r="U61" s="21">
        <f t="shared" si="27"/>
        <v>1</v>
      </c>
      <c r="V61" s="21" t="str">
        <f t="shared" si="27"/>
        <v/>
      </c>
      <c r="W61" s="21">
        <f t="shared" si="27"/>
        <v>2</v>
      </c>
      <c r="X61" s="21">
        <f t="shared" si="27"/>
        <v>2</v>
      </c>
      <c r="Y61" s="21">
        <f t="shared" si="27"/>
        <v>2</v>
      </c>
      <c r="Z61" s="21" t="str">
        <f t="shared" si="27"/>
        <v/>
      </c>
      <c r="AA61" s="21" t="str">
        <f t="shared" si="27"/>
        <v/>
      </c>
      <c r="AB61" s="21" t="str">
        <f t="shared" si="27"/>
        <v/>
      </c>
      <c r="AC61" s="21">
        <f t="shared" si="27"/>
        <v>1</v>
      </c>
      <c r="AD61" s="21">
        <f t="shared" si="27"/>
        <v>1</v>
      </c>
      <c r="AE61" s="21" t="str">
        <f t="shared" si="27"/>
        <v/>
      </c>
      <c r="AF61" s="21">
        <f t="shared" si="27"/>
        <v>2</v>
      </c>
      <c r="AG61" s="21">
        <f t="shared" si="27"/>
        <v>2</v>
      </c>
      <c r="AH61" s="21" t="str">
        <f t="shared" si="27"/>
        <v/>
      </c>
      <c r="AI61" s="21" t="str">
        <f t="shared" si="27"/>
        <v/>
      </c>
      <c r="AJ61" s="21" t="str">
        <f t="shared" si="27"/>
        <v/>
      </c>
      <c r="AK61" s="21">
        <f t="shared" si="27"/>
        <v>1</v>
      </c>
      <c r="AL61" s="21" t="str">
        <f t="shared" si="27"/>
        <v/>
      </c>
      <c r="AM61" s="21" t="str">
        <f t="shared" si="27"/>
        <v/>
      </c>
    </row>
    <row r="62" spans="2:39" ht="18.95" customHeight="1" x14ac:dyDescent="0.3">
      <c r="B62" s="22" t="str">
        <f>IF(Job2_Name="","",Job2_Name)</f>
        <v>Job 2</v>
      </c>
      <c r="C62" s="23" t="str">
        <f t="shared" ref="C62:AM62" si="28">IF(OR(NOT(ISNUMBER(C59)),C59&lt;Job2_StartDate),"",IF(MID(Job2_Pattern,MOD(C59-Job2_StartDate,LEN(Job2_Pattern))+1,1)=Job2_Shift1_Code,1,IF(MID(Job2_Pattern,MOD(C59-Job2_StartDate,LEN(Job2_Pattern))+1,1)=Job2_Shift2_Code,2,IF(MID(Job2_Pattern,MOD(C59-Job2_StartDate,LEN(Job2_Pattern))+1,1)=Job2_Shift3_Code,3,""))))</f>
        <v/>
      </c>
      <c r="D62" s="23" t="str">
        <f t="shared" si="28"/>
        <v/>
      </c>
      <c r="E62" s="23" t="str">
        <f t="shared" si="28"/>
        <v/>
      </c>
      <c r="F62" s="23" t="str">
        <f t="shared" si="28"/>
        <v/>
      </c>
      <c r="G62" s="23" t="str">
        <f t="shared" si="28"/>
        <v/>
      </c>
      <c r="H62" s="23" t="str">
        <f t="shared" si="28"/>
        <v/>
      </c>
      <c r="I62" s="23">
        <f t="shared" si="28"/>
        <v>2</v>
      </c>
      <c r="J62" s="23">
        <f t="shared" si="28"/>
        <v>2</v>
      </c>
      <c r="K62" s="23" t="str">
        <f t="shared" si="28"/>
        <v/>
      </c>
      <c r="L62" s="23">
        <f t="shared" si="28"/>
        <v>1</v>
      </c>
      <c r="M62" s="23">
        <f t="shared" si="28"/>
        <v>1</v>
      </c>
      <c r="N62" s="23" t="str">
        <f t="shared" si="28"/>
        <v/>
      </c>
      <c r="O62" s="23" t="str">
        <f t="shared" si="28"/>
        <v/>
      </c>
      <c r="P62" s="23" t="str">
        <f t="shared" si="28"/>
        <v/>
      </c>
      <c r="Q62" s="23">
        <f t="shared" si="28"/>
        <v>2</v>
      </c>
      <c r="R62" s="23">
        <f t="shared" si="28"/>
        <v>2</v>
      </c>
      <c r="S62" s="23">
        <f t="shared" si="28"/>
        <v>2</v>
      </c>
      <c r="T62" s="23">
        <f t="shared" si="28"/>
        <v>2</v>
      </c>
      <c r="U62" s="23" t="str">
        <f t="shared" si="28"/>
        <v/>
      </c>
      <c r="V62" s="23" t="str">
        <f t="shared" si="28"/>
        <v/>
      </c>
      <c r="W62" s="23" t="str">
        <f t="shared" si="28"/>
        <v/>
      </c>
      <c r="X62" s="23" t="str">
        <f t="shared" si="28"/>
        <v/>
      </c>
      <c r="Y62" s="23" t="str">
        <f t="shared" si="28"/>
        <v/>
      </c>
      <c r="Z62" s="23">
        <f t="shared" si="28"/>
        <v>1</v>
      </c>
      <c r="AA62" s="23" t="str">
        <f t="shared" si="28"/>
        <v/>
      </c>
      <c r="AB62" s="23" t="str">
        <f t="shared" si="28"/>
        <v/>
      </c>
      <c r="AC62" s="23">
        <f t="shared" si="28"/>
        <v>2</v>
      </c>
      <c r="AD62" s="23">
        <f t="shared" si="28"/>
        <v>2</v>
      </c>
      <c r="AE62" s="23">
        <f t="shared" si="28"/>
        <v>2</v>
      </c>
      <c r="AF62" s="23" t="str">
        <f t="shared" si="28"/>
        <v/>
      </c>
      <c r="AG62" s="23" t="str">
        <f t="shared" si="28"/>
        <v/>
      </c>
      <c r="AH62" s="23">
        <f t="shared" si="28"/>
        <v>1</v>
      </c>
      <c r="AI62" s="23">
        <f t="shared" si="28"/>
        <v>1</v>
      </c>
      <c r="AJ62" s="23" t="str">
        <f t="shared" si="28"/>
        <v/>
      </c>
      <c r="AK62" s="23" t="str">
        <f t="shared" si="28"/>
        <v/>
      </c>
      <c r="AL62" s="23" t="str">
        <f t="shared" si="28"/>
        <v/>
      </c>
      <c r="AM62" s="23" t="str">
        <f t="shared" si="28"/>
        <v/>
      </c>
    </row>
    <row r="63" spans="2:39" ht="18.95" customHeight="1" x14ac:dyDescent="0.3">
      <c r="B63" s="22" t="str">
        <f>IF(Job3_Name="","",Job3_Name)</f>
        <v>Job 3</v>
      </c>
      <c r="C63" s="23" t="str">
        <f t="shared" ref="C63:AM63" si="29">IF(OR(NOT(ISNUMBER(C59)),C59&lt;Job3_StartDate),"",IF(MID(Job3_Pattern,MOD(C59-Job3_StartDate,LEN(Job3_Pattern))+1,1)=Job3_Shift1_Code,1,IF(MID(Job3_Pattern,MOD(C59-Job3_StartDate,LEN(Job3_Pattern))+1,1)=Job3_Shift2_Code,2,IF(MID(Job3_Pattern,MOD(C59-Job3_StartDate,LEN(Job3_Pattern))+1,1)=Job3_Shift3_Code,3,""))))</f>
        <v/>
      </c>
      <c r="D63" s="23" t="str">
        <f t="shared" si="29"/>
        <v/>
      </c>
      <c r="E63" s="23" t="str">
        <f t="shared" si="29"/>
        <v/>
      </c>
      <c r="F63" s="23" t="str">
        <f t="shared" si="29"/>
        <v/>
      </c>
      <c r="G63" s="23" t="str">
        <f t="shared" si="29"/>
        <v/>
      </c>
      <c r="H63" s="23" t="str">
        <f t="shared" si="29"/>
        <v/>
      </c>
      <c r="I63" s="23">
        <f t="shared" si="29"/>
        <v>3</v>
      </c>
      <c r="J63" s="23" t="str">
        <f t="shared" si="29"/>
        <v/>
      </c>
      <c r="K63" s="23" t="str">
        <f t="shared" si="29"/>
        <v/>
      </c>
      <c r="L63" s="23" t="str">
        <f t="shared" si="29"/>
        <v/>
      </c>
      <c r="M63" s="23" t="str">
        <f t="shared" si="29"/>
        <v/>
      </c>
      <c r="N63" s="23" t="str">
        <f t="shared" si="29"/>
        <v/>
      </c>
      <c r="O63" s="23" t="str">
        <f t="shared" si="29"/>
        <v/>
      </c>
      <c r="P63" s="23">
        <f t="shared" si="29"/>
        <v>3</v>
      </c>
      <c r="Q63" s="23">
        <f t="shared" si="29"/>
        <v>3</v>
      </c>
      <c r="R63" s="23" t="str">
        <f t="shared" si="29"/>
        <v/>
      </c>
      <c r="S63" s="23" t="str">
        <f t="shared" si="29"/>
        <v/>
      </c>
      <c r="T63" s="23" t="str">
        <f t="shared" si="29"/>
        <v/>
      </c>
      <c r="U63" s="23">
        <f t="shared" si="29"/>
        <v>3</v>
      </c>
      <c r="V63" s="23">
        <f t="shared" si="29"/>
        <v>3</v>
      </c>
      <c r="W63" s="23" t="str">
        <f t="shared" si="29"/>
        <v/>
      </c>
      <c r="X63" s="23" t="str">
        <f t="shared" si="29"/>
        <v/>
      </c>
      <c r="Y63" s="23" t="str">
        <f t="shared" si="29"/>
        <v/>
      </c>
      <c r="Z63" s="23" t="str">
        <f t="shared" si="29"/>
        <v/>
      </c>
      <c r="AA63" s="23">
        <f t="shared" si="29"/>
        <v>3</v>
      </c>
      <c r="AB63" s="23">
        <f t="shared" si="29"/>
        <v>3</v>
      </c>
      <c r="AC63" s="23" t="str">
        <f t="shared" si="29"/>
        <v/>
      </c>
      <c r="AD63" s="23" t="str">
        <f t="shared" si="29"/>
        <v/>
      </c>
      <c r="AE63" s="23" t="str">
        <f t="shared" si="29"/>
        <v/>
      </c>
      <c r="AF63" s="23" t="str">
        <f t="shared" si="29"/>
        <v/>
      </c>
      <c r="AG63" s="23">
        <f t="shared" si="29"/>
        <v>3</v>
      </c>
      <c r="AH63" s="23">
        <f t="shared" si="29"/>
        <v>3</v>
      </c>
      <c r="AI63" s="23">
        <f t="shared" si="29"/>
        <v>3</v>
      </c>
      <c r="AJ63" s="23" t="str">
        <f t="shared" si="29"/>
        <v/>
      </c>
      <c r="AK63" s="23" t="str">
        <f t="shared" si="29"/>
        <v/>
      </c>
      <c r="AL63" s="23" t="str">
        <f t="shared" si="29"/>
        <v/>
      </c>
      <c r="AM63" s="23" t="str">
        <f t="shared" si="29"/>
        <v/>
      </c>
    </row>
    <row r="64" spans="2:39" ht="12" customHeight="1" x14ac:dyDescent="0.3"/>
    <row r="65" spans="2:39" s="16" customFormat="1" ht="18.95" customHeight="1" x14ac:dyDescent="0.3">
      <c r="B65" s="13">
        <f>DATE(CalendarYear,11,1)</f>
        <v>44136</v>
      </c>
      <c r="C65" s="14">
        <f>IF(DAY(NovSun1)=1,"",IF(AND(YEAR(NovSun1+1)=CalendarYear,MONTH(NovSun1+1)=11),NovSun1+1,""))</f>
        <v>44136</v>
      </c>
      <c r="D65" s="14">
        <f>IF(DAY(NovSun1)=1,"",IF(AND(YEAR(NovSun1+2)=CalendarYear,MONTH(NovSun1+2)=11),NovSun1+2,""))</f>
        <v>44137</v>
      </c>
      <c r="E65" s="14">
        <f>IF(DAY(NovSun1)=1,"",IF(AND(YEAR(NovSun1+3)=CalendarYear,MONTH(NovSun1+3)=11),NovSun1+3,""))</f>
        <v>44138</v>
      </c>
      <c r="F65" s="14">
        <f>IF(DAY(NovSun1)=1,"",IF(AND(YEAR(NovSun1+4)=CalendarYear,MONTH(NovSun1+4)=11),NovSun1+4,""))</f>
        <v>44139</v>
      </c>
      <c r="G65" s="14">
        <f>IF(DAY(NovSun1)=1,"",IF(AND(YEAR(NovSun1+5)=CalendarYear,MONTH(NovSun1+5)=11),NovSun1+5,""))</f>
        <v>44140</v>
      </c>
      <c r="H65" s="14">
        <f>IF(DAY(NovSun1)=1,"",IF(AND(YEAR(NovSun1+6)=CalendarYear,MONTH(NovSun1+6)=11),NovSun1+6,""))</f>
        <v>44141</v>
      </c>
      <c r="I65" s="14">
        <f>IF(DAY(NovSun1)=1,IF(AND(YEAR(NovSun1)=CalendarYear,MONTH(NovSun1)=11),NovSun1,""),IF(AND(YEAR(NovSun1+7)=CalendarYear,MONTH(NovSun1+7)=11),NovSun1+7,""))</f>
        <v>44142</v>
      </c>
      <c r="J65" s="14">
        <f>IF(DAY(NovSun1)=1,IF(AND(YEAR(NovSun1+1)=CalendarYear,MONTH(NovSun1+1)=11),NovSun1+1,""),IF(AND(YEAR(NovSun1+8)=CalendarYear,MONTH(NovSun1+8)=11),NovSun1+8,""))</f>
        <v>44143</v>
      </c>
      <c r="K65" s="14">
        <f>IF(DAY(NovSun1)=1,IF(AND(YEAR(NovSun1+2)=CalendarYear,MONTH(NovSun1+2)=11),NovSun1+2,""),IF(AND(YEAR(NovSun1+9)=CalendarYear,MONTH(NovSun1+9)=11),NovSun1+9,""))</f>
        <v>44144</v>
      </c>
      <c r="L65" s="14">
        <f>IF(DAY(NovSun1)=1,IF(AND(YEAR(NovSun1+3)=CalendarYear,MONTH(NovSun1+3)=11),NovSun1+3,""),IF(AND(YEAR(NovSun1+10)=CalendarYear,MONTH(NovSun1+10)=11),NovSun1+10,""))</f>
        <v>44145</v>
      </c>
      <c r="M65" s="14">
        <f>IF(DAY(NovSun1)=1,IF(AND(YEAR(NovSun1+4)=CalendarYear,MONTH(NovSun1+4)=11),NovSun1+4,""),IF(AND(YEAR(NovSun1+11)=CalendarYear,MONTH(NovSun1+11)=11),NovSun1+11,""))</f>
        <v>44146</v>
      </c>
      <c r="N65" s="14">
        <f>IF(DAY(NovSun1)=1,IF(AND(YEAR(NovSun1+5)=CalendarYear,MONTH(NovSun1+5)=11),NovSun1+5,""),IF(AND(YEAR(NovSun1+12)=CalendarYear,MONTH(NovSun1+12)=11),NovSun1+12,""))</f>
        <v>44147</v>
      </c>
      <c r="O65" s="14">
        <f>IF(DAY(NovSun1)=1,IF(AND(YEAR(NovSun1+6)=CalendarYear,MONTH(NovSun1+6)=11),NovSun1+6,""),IF(AND(YEAR(NovSun1+13)=CalendarYear,MONTH(NovSun1+13)=11),NovSun1+13,""))</f>
        <v>44148</v>
      </c>
      <c r="P65" s="14">
        <f>IF(DAY(NovSun1)=1,IF(AND(YEAR(NovSun1+7)=CalendarYear,MONTH(NovSun1+7)=11),NovSun1+7,""),IF(AND(YEAR(NovSun1+14)=CalendarYear,MONTH(NovSun1+14)=11),NovSun1+14,""))</f>
        <v>44149</v>
      </c>
      <c r="Q65" s="14">
        <f>IF(DAY(NovSun1)=1,IF(AND(YEAR(NovSun1+8)=CalendarYear,MONTH(NovSun1+8)=11),NovSun1+8,""),IF(AND(YEAR(NovSun1+15)=CalendarYear,MONTH(NovSun1+15)=11),NovSun1+15,""))</f>
        <v>44150</v>
      </c>
      <c r="R65" s="14">
        <f>IF(DAY(NovSun1)=1,IF(AND(YEAR(NovSun1+9)=CalendarYear,MONTH(NovSun1+9)=11),NovSun1+9,""),IF(AND(YEAR(NovSun1+16)=CalendarYear,MONTH(NovSun1+16)=11),NovSun1+16,""))</f>
        <v>44151</v>
      </c>
      <c r="S65" s="14">
        <f>IF(DAY(NovSun1)=1,IF(AND(YEAR(NovSun1+10)=CalendarYear,MONTH(NovSun1+10)=11),NovSun1+10,""),IF(AND(YEAR(NovSun1+17)=CalendarYear,MONTH(NovSun1+17)=11),NovSun1+17,""))</f>
        <v>44152</v>
      </c>
      <c r="T65" s="14">
        <f>IF(DAY(NovSun1)=1,IF(AND(YEAR(NovSun1+11)=CalendarYear,MONTH(NovSun1+11)=11),NovSun1+11,""),IF(AND(YEAR(NovSun1+18)=CalendarYear,MONTH(NovSun1+18)=11),NovSun1+18,""))</f>
        <v>44153</v>
      </c>
      <c r="U65" s="14">
        <f>IF(DAY(NovSun1)=1,IF(AND(YEAR(NovSun1+12)=CalendarYear,MONTH(NovSun1+12)=11),NovSun1+12,""),IF(AND(YEAR(NovSun1+19)=CalendarYear,MONTH(NovSun1+19)=11),NovSun1+19,""))</f>
        <v>44154</v>
      </c>
      <c r="V65" s="14">
        <f>IF(DAY(NovSun1)=1,IF(AND(YEAR(NovSun1+13)=CalendarYear,MONTH(NovSun1+13)=11),NovSun1+13,""),IF(AND(YEAR(NovSun1+20)=CalendarYear,MONTH(NovSun1+20)=11),NovSun1+20,""))</f>
        <v>44155</v>
      </c>
      <c r="W65" s="14">
        <f>IF(DAY(NovSun1)=1,IF(AND(YEAR(NovSun1+14)=CalendarYear,MONTH(NovSun1+14)=11),NovSun1+14,""),IF(AND(YEAR(NovSun1+21)=CalendarYear,MONTH(NovSun1+21)=11),NovSun1+21,""))</f>
        <v>44156</v>
      </c>
      <c r="X65" s="14">
        <f>IF(DAY(NovSun1)=1,IF(AND(YEAR(NovSun1+15)=CalendarYear,MONTH(NovSun1+15)=11),NovSun1+15,""),IF(AND(YEAR(NovSun1+22)=CalendarYear,MONTH(NovSun1+22)=11),NovSun1+22,""))</f>
        <v>44157</v>
      </c>
      <c r="Y65" s="14">
        <f>IF(DAY(NovSun1)=1,IF(AND(YEAR(NovSun1+16)=CalendarYear,MONTH(NovSun1+16)=11),NovSun1+16,""),IF(AND(YEAR(NovSun1+23)=CalendarYear,MONTH(NovSun1+23)=11),NovSun1+23,""))</f>
        <v>44158</v>
      </c>
      <c r="Z65" s="14">
        <f>IF(DAY(NovSun1)=1,IF(AND(YEAR(NovSun1+17)=CalendarYear,MONTH(NovSun1+17)=11),NovSun1+17,""),IF(AND(YEAR(NovSun1+24)=CalendarYear,MONTH(NovSun1+24)=11),NovSun1+24,""))</f>
        <v>44159</v>
      </c>
      <c r="AA65" s="14">
        <f>IF(DAY(NovSun1)=1,IF(AND(YEAR(NovSun1+18)=CalendarYear,MONTH(NovSun1+18)=11),NovSun1+18,""),IF(AND(YEAR(NovSun1+25)=CalendarYear,MONTH(NovSun1+25)=11),NovSun1+25,""))</f>
        <v>44160</v>
      </c>
      <c r="AB65" s="14">
        <f>IF(DAY(NovSun1)=1,IF(AND(YEAR(NovSun1+19)=CalendarYear,MONTH(NovSun1+19)=11),NovSun1+19,""),IF(AND(YEAR(NovSun1+26)=CalendarYear,MONTH(NovSun1+26)=11),NovSun1+26,""))</f>
        <v>44161</v>
      </c>
      <c r="AC65" s="14">
        <f>IF(DAY(NovSun1)=1,IF(AND(YEAR(NovSun1+20)=CalendarYear,MONTH(NovSun1+20)=11),NovSun1+20,""),IF(AND(YEAR(NovSun1+27)=CalendarYear,MONTH(NovSun1+27)=11),NovSun1+27,""))</f>
        <v>44162</v>
      </c>
      <c r="AD65" s="14">
        <f>IF(DAY(NovSun1)=1,IF(AND(YEAR(NovSun1+21)=CalendarYear,MONTH(NovSun1+21)=11),NovSun1+21,""),IF(AND(YEAR(NovSun1+28)=CalendarYear,MONTH(NovSun1+28)=11),NovSun1+28,""))</f>
        <v>44163</v>
      </c>
      <c r="AE65" s="14">
        <f>IF(DAY(NovSun1)=1,IF(AND(YEAR(NovSun1+22)=CalendarYear,MONTH(NovSun1+22)=11),NovSun1+22,""),IF(AND(YEAR(NovSun1+29)=CalendarYear,MONTH(NovSun1+29)=11),NovSun1+29,""))</f>
        <v>44164</v>
      </c>
      <c r="AF65" s="14">
        <f>IF(DAY(NovSun1)=1,IF(AND(YEAR(NovSun1+23)=CalendarYear,MONTH(NovSun1+23)=11),NovSun1+23,""),IF(AND(YEAR(NovSun1+30)=CalendarYear,MONTH(NovSun1+30)=11),NovSun1+30,""))</f>
        <v>44165</v>
      </c>
      <c r="AG65" s="14" t="str">
        <f>IF(DAY(NovSun1)=1,IF(AND(YEAR(NovSun1+24)=CalendarYear,MONTH(NovSun1+24)=11),NovSun1+24,""),IF(AND(YEAR(NovSun1+31)=CalendarYear,MONTH(NovSun1+31)=11),NovSun1+31,""))</f>
        <v/>
      </c>
      <c r="AH65" s="14" t="str">
        <f>IF(DAY(NovSun1)=1,IF(AND(YEAR(NovSun1+25)=CalendarYear,MONTH(NovSun1+25)=11),NovSun1+25,""),IF(AND(YEAR(NovSun1+32)=CalendarYear,MONTH(NovSun1+32)=11),NovSun1+32,""))</f>
        <v/>
      </c>
      <c r="AI65" s="14" t="str">
        <f>IF(DAY(NovSun1)=1,IF(AND(YEAR(NovSun1+26)=CalendarYear,MONTH(NovSun1+26)=11),NovSun1+26,""),IF(AND(YEAR(NovSun1+33)=CalendarYear,MONTH(NovSun1+33)=11),NovSun1+33,""))</f>
        <v/>
      </c>
      <c r="AJ65" s="14" t="str">
        <f>IF(DAY(NovSun1)=1,IF(AND(YEAR(NovSun1+27)=CalendarYear,MONTH(NovSun1+27)=11),NovSun1+27,""),IF(AND(YEAR(NovSun1+34)=CalendarYear,MONTH(NovSun1+34)=11),NovSun1+34,""))</f>
        <v/>
      </c>
      <c r="AK65" s="14" t="str">
        <f>IF(DAY(NovSun1)=1,IF(AND(YEAR(NovSun1+28)=CalendarYear,MONTH(NovSun1+28)=11),NovSun1+28,""),IF(AND(YEAR(NovSun1+35)=CalendarYear,MONTH(NovSun1+35)=11),NovSun1+35,""))</f>
        <v/>
      </c>
      <c r="AL65" s="14" t="str">
        <f>IF(DAY(NovSun1)=1,IF(AND(YEAR(NovSun1+29)=CalendarYear,MONTH(NovSun1+29)=11),NovSun1+29,""),IF(AND(YEAR(NovSun1+36)=CalendarYear,MONTH(NovSun1+36)=11),NovSun1+36,""))</f>
        <v/>
      </c>
      <c r="AM65" s="15" t="str">
        <f>IF(DAY(NovSun1)=1,IF(AND(YEAR(NovSun1+30)=CalendarYear,MONTH(NovSun1+30)=11),NovSun1+30,""),IF(AND(YEAR(NovSun1+37)=CalendarYear,MONTH(NovSun1+37)=11),NovSun1+37,""))</f>
        <v/>
      </c>
    </row>
    <row r="66" spans="2:39" s="16" customFormat="1" ht="18.95" customHeight="1" x14ac:dyDescent="0.3">
      <c r="B66" s="17"/>
      <c r="C66" s="18" t="s">
        <v>1</v>
      </c>
      <c r="D66" s="18" t="s">
        <v>2</v>
      </c>
      <c r="E66" s="18" t="s">
        <v>3</v>
      </c>
      <c r="F66" s="18" t="s">
        <v>4</v>
      </c>
      <c r="G66" s="18" t="s">
        <v>5</v>
      </c>
      <c r="H66" s="18" t="s">
        <v>6</v>
      </c>
      <c r="I66" s="18" t="s">
        <v>7</v>
      </c>
      <c r="J66" s="18" t="s">
        <v>1</v>
      </c>
      <c r="K66" s="18" t="s">
        <v>2</v>
      </c>
      <c r="L66" s="18" t="s">
        <v>3</v>
      </c>
      <c r="M66" s="18" t="s">
        <v>4</v>
      </c>
      <c r="N66" s="18" t="s">
        <v>5</v>
      </c>
      <c r="O66" s="18" t="s">
        <v>6</v>
      </c>
      <c r="P66" s="18" t="s">
        <v>7</v>
      </c>
      <c r="Q66" s="18" t="s">
        <v>1</v>
      </c>
      <c r="R66" s="18" t="s">
        <v>2</v>
      </c>
      <c r="S66" s="18" t="s">
        <v>3</v>
      </c>
      <c r="T66" s="18" t="s">
        <v>4</v>
      </c>
      <c r="U66" s="18" t="s">
        <v>5</v>
      </c>
      <c r="V66" s="18" t="s">
        <v>6</v>
      </c>
      <c r="W66" s="18" t="s">
        <v>7</v>
      </c>
      <c r="X66" s="18" t="s">
        <v>1</v>
      </c>
      <c r="Y66" s="18" t="s">
        <v>2</v>
      </c>
      <c r="Z66" s="18" t="s">
        <v>3</v>
      </c>
      <c r="AA66" s="18" t="s">
        <v>4</v>
      </c>
      <c r="AB66" s="18" t="s">
        <v>5</v>
      </c>
      <c r="AC66" s="18" t="s">
        <v>6</v>
      </c>
      <c r="AD66" s="18" t="s">
        <v>7</v>
      </c>
      <c r="AE66" s="18" t="s">
        <v>1</v>
      </c>
      <c r="AF66" s="18" t="s">
        <v>2</v>
      </c>
      <c r="AG66" s="18" t="s">
        <v>3</v>
      </c>
      <c r="AH66" s="18" t="s">
        <v>4</v>
      </c>
      <c r="AI66" s="18" t="s">
        <v>5</v>
      </c>
      <c r="AJ66" s="18" t="s">
        <v>6</v>
      </c>
      <c r="AK66" s="18" t="s">
        <v>7</v>
      </c>
      <c r="AL66" s="18" t="s">
        <v>1</v>
      </c>
      <c r="AM66" s="19" t="s">
        <v>2</v>
      </c>
    </row>
    <row r="67" spans="2:39" ht="18.95" customHeight="1" x14ac:dyDescent="0.3">
      <c r="B67" s="20" t="str">
        <f>IF(Job1_Name="","",Job1_Name)</f>
        <v>Job 1</v>
      </c>
      <c r="C67" s="21">
        <f t="shared" ref="C67:AM67" si="30">IF(OR(NOT(ISNUMBER(C65)),C65&lt;Job1_StartDate),"",IF(MID(Job1_Pattern,MOD(C65-Job1_StartDate,LEN(Job1_Pattern))+1,1)=Job1_Shift1_Code,1,IF(MID(Job1_Pattern,MOD(C65-Job1_StartDate,LEN(Job1_Pattern))+1,1)=Job1_Shift2_Code,2,IF(MID(Job1_Pattern,MOD(C65-Job1_StartDate,LEN(Job1_Pattern))+1,1)=Job1_Shift3_Code,3,""))))</f>
        <v>1</v>
      </c>
      <c r="D67" s="21">
        <f t="shared" si="30"/>
        <v>1</v>
      </c>
      <c r="E67" s="21">
        <f t="shared" si="30"/>
        <v>1</v>
      </c>
      <c r="F67" s="21" t="str">
        <f t="shared" si="30"/>
        <v/>
      </c>
      <c r="G67" s="21" t="str">
        <f t="shared" si="30"/>
        <v/>
      </c>
      <c r="H67" s="21">
        <f t="shared" si="30"/>
        <v>2</v>
      </c>
      <c r="I67" s="21">
        <f t="shared" si="30"/>
        <v>2</v>
      </c>
      <c r="J67" s="21">
        <f t="shared" si="30"/>
        <v>2</v>
      </c>
      <c r="K67" s="21">
        <f t="shared" si="30"/>
        <v>2</v>
      </c>
      <c r="L67" s="21" t="str">
        <f t="shared" si="30"/>
        <v/>
      </c>
      <c r="M67" s="21" t="str">
        <f t="shared" si="30"/>
        <v/>
      </c>
      <c r="N67" s="21">
        <f t="shared" si="30"/>
        <v>1</v>
      </c>
      <c r="O67" s="21">
        <f t="shared" si="30"/>
        <v>1</v>
      </c>
      <c r="P67" s="21">
        <f t="shared" si="30"/>
        <v>1</v>
      </c>
      <c r="Q67" s="21" t="str">
        <f t="shared" si="30"/>
        <v/>
      </c>
      <c r="R67" s="21">
        <f t="shared" si="30"/>
        <v>2</v>
      </c>
      <c r="S67" s="21">
        <f t="shared" si="30"/>
        <v>2</v>
      </c>
      <c r="T67" s="21">
        <f t="shared" si="30"/>
        <v>2</v>
      </c>
      <c r="U67" s="21" t="str">
        <f t="shared" si="30"/>
        <v/>
      </c>
      <c r="V67" s="21" t="str">
        <f t="shared" si="30"/>
        <v/>
      </c>
      <c r="W67" s="21" t="str">
        <f t="shared" si="30"/>
        <v/>
      </c>
      <c r="X67" s="21">
        <f t="shared" si="30"/>
        <v>1</v>
      </c>
      <c r="Y67" s="21">
        <f t="shared" si="30"/>
        <v>1</v>
      </c>
      <c r="Z67" s="21" t="str">
        <f t="shared" si="30"/>
        <v/>
      </c>
      <c r="AA67" s="21">
        <f t="shared" si="30"/>
        <v>2</v>
      </c>
      <c r="AB67" s="21">
        <f t="shared" si="30"/>
        <v>2</v>
      </c>
      <c r="AC67" s="21" t="str">
        <f t="shared" si="30"/>
        <v/>
      </c>
      <c r="AD67" s="21" t="str">
        <f t="shared" si="30"/>
        <v/>
      </c>
      <c r="AE67" s="21" t="str">
        <f t="shared" si="30"/>
        <v/>
      </c>
      <c r="AF67" s="21">
        <f t="shared" si="30"/>
        <v>1</v>
      </c>
      <c r="AG67" s="21" t="str">
        <f t="shared" si="30"/>
        <v/>
      </c>
      <c r="AH67" s="21" t="str">
        <f t="shared" si="30"/>
        <v/>
      </c>
      <c r="AI67" s="21" t="str">
        <f t="shared" si="30"/>
        <v/>
      </c>
      <c r="AJ67" s="21" t="str">
        <f t="shared" si="30"/>
        <v/>
      </c>
      <c r="AK67" s="21" t="str">
        <f t="shared" si="30"/>
        <v/>
      </c>
      <c r="AL67" s="21" t="str">
        <f t="shared" si="30"/>
        <v/>
      </c>
      <c r="AM67" s="21" t="str">
        <f t="shared" si="30"/>
        <v/>
      </c>
    </row>
    <row r="68" spans="2:39" ht="18.95" customHeight="1" x14ac:dyDescent="0.3">
      <c r="B68" s="22" t="str">
        <f>IF(Job2_Name="","",Job2_Name)</f>
        <v>Job 2</v>
      </c>
      <c r="C68" s="23" t="str">
        <f t="shared" ref="C68:AM68" si="31">IF(OR(NOT(ISNUMBER(C65)),C65&lt;Job2_StartDate),"",IF(MID(Job2_Pattern,MOD(C65-Job2_StartDate,LEN(Job2_Pattern))+1,1)=Job2_Shift1_Code,1,IF(MID(Job2_Pattern,MOD(C65-Job2_StartDate,LEN(Job2_Pattern))+1,1)=Job2_Shift2_Code,2,IF(MID(Job2_Pattern,MOD(C65-Job2_StartDate,LEN(Job2_Pattern))+1,1)=Job2_Shift3_Code,3,""))))</f>
        <v/>
      </c>
      <c r="D68" s="23">
        <f t="shared" si="31"/>
        <v>2</v>
      </c>
      <c r="E68" s="23">
        <f t="shared" si="31"/>
        <v>2</v>
      </c>
      <c r="F68" s="23" t="str">
        <f t="shared" si="31"/>
        <v/>
      </c>
      <c r="G68" s="23">
        <f t="shared" si="31"/>
        <v>1</v>
      </c>
      <c r="H68" s="23">
        <f t="shared" si="31"/>
        <v>1</v>
      </c>
      <c r="I68" s="23" t="str">
        <f t="shared" si="31"/>
        <v/>
      </c>
      <c r="J68" s="23" t="str">
        <f t="shared" si="31"/>
        <v/>
      </c>
      <c r="K68" s="23" t="str">
        <f t="shared" si="31"/>
        <v/>
      </c>
      <c r="L68" s="23">
        <f t="shared" si="31"/>
        <v>2</v>
      </c>
      <c r="M68" s="23">
        <f t="shared" si="31"/>
        <v>2</v>
      </c>
      <c r="N68" s="23">
        <f t="shared" si="31"/>
        <v>2</v>
      </c>
      <c r="O68" s="23">
        <f t="shared" si="31"/>
        <v>2</v>
      </c>
      <c r="P68" s="23" t="str">
        <f t="shared" si="31"/>
        <v/>
      </c>
      <c r="Q68" s="23" t="str">
        <f t="shared" si="31"/>
        <v/>
      </c>
      <c r="R68" s="23" t="str">
        <f t="shared" si="31"/>
        <v/>
      </c>
      <c r="S68" s="23" t="str">
        <f t="shared" si="31"/>
        <v/>
      </c>
      <c r="T68" s="23" t="str">
        <f t="shared" si="31"/>
        <v/>
      </c>
      <c r="U68" s="23">
        <f t="shared" si="31"/>
        <v>1</v>
      </c>
      <c r="V68" s="23" t="str">
        <f t="shared" si="31"/>
        <v/>
      </c>
      <c r="W68" s="23" t="str">
        <f t="shared" si="31"/>
        <v/>
      </c>
      <c r="X68" s="23">
        <f t="shared" si="31"/>
        <v>2</v>
      </c>
      <c r="Y68" s="23">
        <f t="shared" si="31"/>
        <v>2</v>
      </c>
      <c r="Z68" s="23">
        <f t="shared" si="31"/>
        <v>2</v>
      </c>
      <c r="AA68" s="23" t="str">
        <f t="shared" si="31"/>
        <v/>
      </c>
      <c r="AB68" s="23" t="str">
        <f t="shared" si="31"/>
        <v/>
      </c>
      <c r="AC68" s="23">
        <f t="shared" si="31"/>
        <v>1</v>
      </c>
      <c r="AD68" s="23">
        <f t="shared" si="31"/>
        <v>1</v>
      </c>
      <c r="AE68" s="23" t="str">
        <f t="shared" si="31"/>
        <v/>
      </c>
      <c r="AF68" s="23" t="str">
        <f t="shared" si="31"/>
        <v/>
      </c>
      <c r="AG68" s="23" t="str">
        <f t="shared" si="31"/>
        <v/>
      </c>
      <c r="AH68" s="23" t="str">
        <f t="shared" si="31"/>
        <v/>
      </c>
      <c r="AI68" s="23" t="str">
        <f t="shared" si="31"/>
        <v/>
      </c>
      <c r="AJ68" s="23" t="str">
        <f t="shared" si="31"/>
        <v/>
      </c>
      <c r="AK68" s="23" t="str">
        <f t="shared" si="31"/>
        <v/>
      </c>
      <c r="AL68" s="23" t="str">
        <f t="shared" si="31"/>
        <v/>
      </c>
      <c r="AM68" s="23" t="str">
        <f t="shared" si="31"/>
        <v/>
      </c>
    </row>
    <row r="69" spans="2:39" ht="18.95" customHeight="1" x14ac:dyDescent="0.3">
      <c r="B69" s="22" t="str">
        <f>IF(Job3_Name="","",Job3_Name)</f>
        <v>Job 3</v>
      </c>
      <c r="C69" s="23" t="str">
        <f t="shared" ref="C69:AM69" si="32">IF(OR(NOT(ISNUMBER(C65)),C65&lt;Job3_StartDate),"",IF(MID(Job3_Pattern,MOD(C65-Job3_StartDate,LEN(Job3_Pattern))+1,1)=Job3_Shift1_Code,1,IF(MID(Job3_Pattern,MOD(C65-Job3_StartDate,LEN(Job3_Pattern))+1,1)=Job3_Shift2_Code,2,IF(MID(Job3_Pattern,MOD(C65-Job3_StartDate,LEN(Job3_Pattern))+1,1)=Job3_Shift3_Code,3,""))))</f>
        <v/>
      </c>
      <c r="D69" s="23">
        <f t="shared" si="32"/>
        <v>3</v>
      </c>
      <c r="E69" s="23" t="str">
        <f t="shared" si="32"/>
        <v/>
      </c>
      <c r="F69" s="23" t="str">
        <f t="shared" si="32"/>
        <v/>
      </c>
      <c r="G69" s="23" t="str">
        <f t="shared" si="32"/>
        <v/>
      </c>
      <c r="H69" s="23" t="str">
        <f t="shared" si="32"/>
        <v/>
      </c>
      <c r="I69" s="23" t="str">
        <f t="shared" si="32"/>
        <v/>
      </c>
      <c r="J69" s="23" t="str">
        <f t="shared" si="32"/>
        <v/>
      </c>
      <c r="K69" s="23">
        <f t="shared" si="32"/>
        <v>3</v>
      </c>
      <c r="L69" s="23">
        <f t="shared" si="32"/>
        <v>3</v>
      </c>
      <c r="M69" s="23" t="str">
        <f t="shared" si="32"/>
        <v/>
      </c>
      <c r="N69" s="23" t="str">
        <f t="shared" si="32"/>
        <v/>
      </c>
      <c r="O69" s="23" t="str">
        <f t="shared" si="32"/>
        <v/>
      </c>
      <c r="P69" s="23">
        <f t="shared" si="32"/>
        <v>3</v>
      </c>
      <c r="Q69" s="23">
        <f t="shared" si="32"/>
        <v>3</v>
      </c>
      <c r="R69" s="23" t="str">
        <f t="shared" si="32"/>
        <v/>
      </c>
      <c r="S69" s="23" t="str">
        <f t="shared" si="32"/>
        <v/>
      </c>
      <c r="T69" s="23" t="str">
        <f t="shared" si="32"/>
        <v/>
      </c>
      <c r="U69" s="23" t="str">
        <f t="shared" si="32"/>
        <v/>
      </c>
      <c r="V69" s="23">
        <f t="shared" si="32"/>
        <v>3</v>
      </c>
      <c r="W69" s="23">
        <f t="shared" si="32"/>
        <v>3</v>
      </c>
      <c r="X69" s="23" t="str">
        <f t="shared" si="32"/>
        <v/>
      </c>
      <c r="Y69" s="23" t="str">
        <f t="shared" si="32"/>
        <v/>
      </c>
      <c r="Z69" s="23" t="str">
        <f t="shared" si="32"/>
        <v/>
      </c>
      <c r="AA69" s="23" t="str">
        <f t="shared" si="32"/>
        <v/>
      </c>
      <c r="AB69" s="23">
        <f t="shared" si="32"/>
        <v>3</v>
      </c>
      <c r="AC69" s="23">
        <f t="shared" si="32"/>
        <v>3</v>
      </c>
      <c r="AD69" s="23">
        <f t="shared" si="32"/>
        <v>3</v>
      </c>
      <c r="AE69" s="23" t="str">
        <f t="shared" si="32"/>
        <v/>
      </c>
      <c r="AF69" s="23" t="str">
        <f t="shared" si="32"/>
        <v/>
      </c>
      <c r="AG69" s="23" t="str">
        <f t="shared" si="32"/>
        <v/>
      </c>
      <c r="AH69" s="23" t="str">
        <f t="shared" si="32"/>
        <v/>
      </c>
      <c r="AI69" s="23" t="str">
        <f t="shared" si="32"/>
        <v/>
      </c>
      <c r="AJ69" s="23" t="str">
        <f t="shared" si="32"/>
        <v/>
      </c>
      <c r="AK69" s="23" t="str">
        <f t="shared" si="32"/>
        <v/>
      </c>
      <c r="AL69" s="23" t="str">
        <f t="shared" si="32"/>
        <v/>
      </c>
      <c r="AM69" s="23" t="str">
        <f t="shared" si="32"/>
        <v/>
      </c>
    </row>
    <row r="70" spans="2:39" ht="12" customHeight="1" x14ac:dyDescent="0.3"/>
    <row r="71" spans="2:39" s="16" customFormat="1" ht="18.95" customHeight="1" x14ac:dyDescent="0.3">
      <c r="B71" s="13">
        <f>DATE(CalendarYear,12,1)</f>
        <v>44166</v>
      </c>
      <c r="C71" s="14" t="str">
        <f>IF(DAY(DecSun1)=1,"",IF(AND(YEAR(DecSun1+1)=CalendarYear,MONTH(DecSun1+1)=12),DecSun1+1,""))</f>
        <v/>
      </c>
      <c r="D71" s="14" t="str">
        <f>IF(DAY(DecSun1)=1,"",IF(AND(YEAR(DecSun1+2)=CalendarYear,MONTH(DecSun1+2)=12),DecSun1+2,""))</f>
        <v/>
      </c>
      <c r="E71" s="14">
        <f>IF(DAY(DecSun1)=1,"",IF(AND(YEAR(DecSun1+3)=CalendarYear,MONTH(DecSun1+3)=12),DecSun1+3,""))</f>
        <v>44166</v>
      </c>
      <c r="F71" s="14">
        <f>IF(DAY(DecSun1)=1,"",IF(AND(YEAR(DecSun1+4)=CalendarYear,MONTH(DecSun1+4)=12),DecSun1+4,""))</f>
        <v>44167</v>
      </c>
      <c r="G71" s="14">
        <f>IF(DAY(DecSun1)=1,"",IF(AND(YEAR(DecSun1+5)=CalendarYear,MONTH(DecSun1+5)=12),DecSun1+5,""))</f>
        <v>44168</v>
      </c>
      <c r="H71" s="14">
        <f>IF(DAY(DecSun1)=1,"",IF(AND(YEAR(DecSun1+6)=CalendarYear,MONTH(DecSun1+6)=12),DecSun1+6,""))</f>
        <v>44169</v>
      </c>
      <c r="I71" s="14">
        <f>IF(DAY(DecSun1)=1,IF(AND(YEAR(DecSun1)=CalendarYear,MONTH(DecSun1)=12),DecSun1,""),IF(AND(YEAR(DecSun1+7)=CalendarYear,MONTH(DecSun1+7)=12),DecSun1+7,""))</f>
        <v>44170</v>
      </c>
      <c r="J71" s="14">
        <f>IF(DAY(DecSun1)=1,IF(AND(YEAR(DecSun1+1)=CalendarYear,MONTH(DecSun1+1)=12),DecSun1+1,""),IF(AND(YEAR(DecSun1+8)=CalendarYear,MONTH(DecSun1+8)=12),DecSun1+8,""))</f>
        <v>44171</v>
      </c>
      <c r="K71" s="14">
        <f>IF(DAY(DecSun1)=1,IF(AND(YEAR(DecSun1+2)=CalendarYear,MONTH(DecSun1+2)=12),DecSun1+2,""),IF(AND(YEAR(DecSun1+9)=CalendarYear,MONTH(DecSun1+9)=12),DecSun1+9,""))</f>
        <v>44172</v>
      </c>
      <c r="L71" s="14">
        <f>IF(DAY(DecSun1)=1,IF(AND(YEAR(DecSun1+3)=CalendarYear,MONTH(DecSun1+3)=12),DecSun1+3,""),IF(AND(YEAR(DecSun1+10)=CalendarYear,MONTH(DecSun1+10)=12),DecSun1+10,""))</f>
        <v>44173</v>
      </c>
      <c r="M71" s="14">
        <f>IF(DAY(DecSun1)=1,IF(AND(YEAR(DecSun1+4)=CalendarYear,MONTH(DecSun1+4)=12),DecSun1+4,""),IF(AND(YEAR(DecSun1+11)=CalendarYear,MONTH(DecSun1+11)=12),DecSun1+11,""))</f>
        <v>44174</v>
      </c>
      <c r="N71" s="14">
        <f>IF(DAY(DecSun1)=1,IF(AND(YEAR(DecSun1+5)=CalendarYear,MONTH(DecSun1+5)=12),DecSun1+5,""),IF(AND(YEAR(DecSun1+12)=CalendarYear,MONTH(DecSun1+12)=12),DecSun1+12,""))</f>
        <v>44175</v>
      </c>
      <c r="O71" s="14">
        <f>IF(DAY(DecSun1)=1,IF(AND(YEAR(DecSun1+6)=CalendarYear,MONTH(DecSun1+6)=12),DecSun1+6,""),IF(AND(YEAR(DecSun1+13)=CalendarYear,MONTH(DecSun1+13)=12),DecSun1+13,""))</f>
        <v>44176</v>
      </c>
      <c r="P71" s="14">
        <f>IF(DAY(DecSun1)=1,IF(AND(YEAR(DecSun1+7)=CalendarYear,MONTH(DecSun1+7)=12),DecSun1+7,""),IF(AND(YEAR(DecSun1+14)=CalendarYear,MONTH(DecSun1+14)=12),DecSun1+14,""))</f>
        <v>44177</v>
      </c>
      <c r="Q71" s="14">
        <f>IF(DAY(DecSun1)=1,IF(AND(YEAR(DecSun1+8)=CalendarYear,MONTH(DecSun1+8)=12),DecSun1+8,""),IF(AND(YEAR(DecSun1+15)=CalendarYear,MONTH(DecSun1+15)=12),DecSun1+15,""))</f>
        <v>44178</v>
      </c>
      <c r="R71" s="14">
        <f>IF(DAY(DecSun1)=1,IF(AND(YEAR(DecSun1+9)=CalendarYear,MONTH(DecSun1+9)=12),DecSun1+9,""),IF(AND(YEAR(DecSun1+16)=CalendarYear,MONTH(DecSun1+16)=12),DecSun1+16,""))</f>
        <v>44179</v>
      </c>
      <c r="S71" s="14">
        <f>IF(DAY(DecSun1)=1,IF(AND(YEAR(DecSun1+10)=CalendarYear,MONTH(DecSun1+10)=12),DecSun1+10,""),IF(AND(YEAR(DecSun1+17)=CalendarYear,MONTH(DecSun1+17)=12),DecSun1+17,""))</f>
        <v>44180</v>
      </c>
      <c r="T71" s="14">
        <f>IF(DAY(DecSun1)=1,IF(AND(YEAR(DecSun1+11)=CalendarYear,MONTH(DecSun1+11)=12),DecSun1+11,""),IF(AND(YEAR(DecSun1+18)=CalendarYear,MONTH(DecSun1+18)=12),DecSun1+18,""))</f>
        <v>44181</v>
      </c>
      <c r="U71" s="14">
        <f>IF(DAY(DecSun1)=1,IF(AND(YEAR(DecSun1+12)=CalendarYear,MONTH(DecSun1+12)=12),DecSun1+12,""),IF(AND(YEAR(DecSun1+19)=CalendarYear,MONTH(DecSun1+19)=12),DecSun1+19,""))</f>
        <v>44182</v>
      </c>
      <c r="V71" s="14">
        <f>IF(DAY(DecSun1)=1,IF(AND(YEAR(DecSun1+13)=CalendarYear,MONTH(DecSun1+13)=12),DecSun1+13,""),IF(AND(YEAR(DecSun1+20)=CalendarYear,MONTH(DecSun1+20)=12),DecSun1+20,""))</f>
        <v>44183</v>
      </c>
      <c r="W71" s="14">
        <f>IF(DAY(DecSun1)=1,IF(AND(YEAR(DecSun1+14)=CalendarYear,MONTH(DecSun1+14)=12),DecSun1+14,""),IF(AND(YEAR(DecSun1+21)=CalendarYear,MONTH(DecSun1+21)=12),DecSun1+21,""))</f>
        <v>44184</v>
      </c>
      <c r="X71" s="14">
        <f>IF(DAY(DecSun1)=1,IF(AND(YEAR(DecSun1+15)=CalendarYear,MONTH(DecSun1+15)=12),DecSun1+15,""),IF(AND(YEAR(DecSun1+22)=CalendarYear,MONTH(DecSun1+22)=12),DecSun1+22,""))</f>
        <v>44185</v>
      </c>
      <c r="Y71" s="14">
        <f>IF(DAY(DecSun1)=1,IF(AND(YEAR(DecSun1+16)=CalendarYear,MONTH(DecSun1+16)=12),DecSun1+16,""),IF(AND(YEAR(DecSun1+23)=CalendarYear,MONTH(DecSun1+23)=12),DecSun1+23,""))</f>
        <v>44186</v>
      </c>
      <c r="Z71" s="14">
        <f>IF(DAY(DecSun1)=1,IF(AND(YEAR(DecSun1+17)=CalendarYear,MONTH(DecSun1+17)=12),DecSun1+17,""),IF(AND(YEAR(DecSun1+24)=CalendarYear,MONTH(DecSun1+24)=12),DecSun1+24,""))</f>
        <v>44187</v>
      </c>
      <c r="AA71" s="14">
        <f>IF(DAY(DecSun1)=1,IF(AND(YEAR(DecSun1+18)=CalendarYear,MONTH(DecSun1+18)=12),DecSun1+18,""),IF(AND(YEAR(DecSun1+25)=CalendarYear,MONTH(DecSun1+25)=12),DecSun1+25,""))</f>
        <v>44188</v>
      </c>
      <c r="AB71" s="14">
        <f>IF(DAY(DecSun1)=1,IF(AND(YEAR(DecSun1+19)=CalendarYear,MONTH(DecSun1+19)=12),DecSun1+19,""),IF(AND(YEAR(DecSun1+26)=CalendarYear,MONTH(DecSun1+26)=12),DecSun1+26,""))</f>
        <v>44189</v>
      </c>
      <c r="AC71" s="14">
        <f>IF(DAY(DecSun1)=1,IF(AND(YEAR(DecSun1+20)=CalendarYear,MONTH(DecSun1+20)=12),DecSun1+20,""),IF(AND(YEAR(DecSun1+27)=CalendarYear,MONTH(DecSun1+27)=12),DecSun1+27,""))</f>
        <v>44190</v>
      </c>
      <c r="AD71" s="14">
        <f>IF(DAY(DecSun1)=1,IF(AND(YEAR(DecSun1+21)=CalendarYear,MONTH(DecSun1+21)=12),DecSun1+21,""),IF(AND(YEAR(DecSun1+28)=CalendarYear,MONTH(DecSun1+28)=12),DecSun1+28,""))</f>
        <v>44191</v>
      </c>
      <c r="AE71" s="14">
        <f>IF(DAY(DecSun1)=1,IF(AND(YEAR(DecSun1+22)=CalendarYear,MONTH(DecSun1+22)=12),DecSun1+22,""),IF(AND(YEAR(DecSun1+29)=CalendarYear,MONTH(DecSun1+29)=12),DecSun1+29,""))</f>
        <v>44192</v>
      </c>
      <c r="AF71" s="14">
        <f>IF(DAY(DecSun1)=1,IF(AND(YEAR(DecSun1+23)=CalendarYear,MONTH(DecSun1+23)=12),DecSun1+23,""),IF(AND(YEAR(DecSun1+30)=CalendarYear,MONTH(DecSun1+30)=12),DecSun1+30,""))</f>
        <v>44193</v>
      </c>
      <c r="AG71" s="14">
        <f>IF(DAY(DecSun1)=1,IF(AND(YEAR(DecSun1+24)=CalendarYear,MONTH(DecSun1+24)=12),DecSun1+24,""),IF(AND(YEAR(DecSun1+31)=CalendarYear,MONTH(DecSun1+31)=12),DecSun1+31,""))</f>
        <v>44194</v>
      </c>
      <c r="AH71" s="14">
        <f>IF(DAY(DecSun1)=1,IF(AND(YEAR(DecSun1+25)=CalendarYear,MONTH(DecSun1+25)=12),DecSun1+25,""),IF(AND(YEAR(DecSun1+32)=CalendarYear,MONTH(DecSun1+32)=12),DecSun1+32,""))</f>
        <v>44195</v>
      </c>
      <c r="AI71" s="14">
        <f>IF(DAY(DecSun1)=1,IF(AND(YEAR(DecSun1+26)=CalendarYear,MONTH(DecSun1+26)=12),DecSun1+26,""),IF(AND(YEAR(DecSun1+33)=CalendarYear,MONTH(DecSun1+33)=12),DecSun1+33,""))</f>
        <v>44196</v>
      </c>
      <c r="AJ71" s="14" t="str">
        <f>IF(DAY(DecSun1)=1,IF(AND(YEAR(DecSun1+27)=CalendarYear,MONTH(DecSun1+27)=12),DecSun1+27,""),IF(AND(YEAR(DecSun1+34)=CalendarYear,MONTH(DecSun1+34)=12),DecSun1+34,""))</f>
        <v/>
      </c>
      <c r="AK71" s="14" t="str">
        <f>IF(DAY(DecSun1)=1,IF(AND(YEAR(DecSun1+28)=CalendarYear,MONTH(DecSun1+28)=12),DecSun1+28,""),IF(AND(YEAR(DecSun1+35)=CalendarYear,MONTH(DecSun1+35)=12),DecSun1+35,""))</f>
        <v/>
      </c>
      <c r="AL71" s="14" t="str">
        <f>IF(DAY(DecSun1)=1,IF(AND(YEAR(DecSun1+29)=CalendarYear,MONTH(DecSun1+29)=12),DecSun1+29,""),IF(AND(YEAR(DecSun1+36)=CalendarYear,MONTH(DecSun1+36)=12),DecSun1+36,""))</f>
        <v/>
      </c>
      <c r="AM71" s="15" t="str">
        <f>IF(DAY(DecSun1)=1,IF(AND(YEAR(DecSun1+30)=CalendarYear,MONTH(DecSun1+30)=12),DecSun1+30,""),IF(AND(YEAR(DecSun1+37)=CalendarYear,MONTH(DecSun1+37)=12),DecSun1+37,""))</f>
        <v/>
      </c>
    </row>
    <row r="72" spans="2:39" s="16" customFormat="1" ht="18.95" customHeight="1" x14ac:dyDescent="0.3">
      <c r="B72" s="17"/>
      <c r="C72" s="18" t="s">
        <v>1</v>
      </c>
      <c r="D72" s="18" t="s">
        <v>2</v>
      </c>
      <c r="E72" s="18" t="s">
        <v>3</v>
      </c>
      <c r="F72" s="18" t="s">
        <v>4</v>
      </c>
      <c r="G72" s="18" t="s">
        <v>5</v>
      </c>
      <c r="H72" s="18" t="s">
        <v>6</v>
      </c>
      <c r="I72" s="18" t="s">
        <v>7</v>
      </c>
      <c r="J72" s="18" t="s">
        <v>1</v>
      </c>
      <c r="K72" s="18" t="s">
        <v>2</v>
      </c>
      <c r="L72" s="18" t="s">
        <v>3</v>
      </c>
      <c r="M72" s="18" t="s">
        <v>4</v>
      </c>
      <c r="N72" s="18" t="s">
        <v>5</v>
      </c>
      <c r="O72" s="18" t="s">
        <v>6</v>
      </c>
      <c r="P72" s="18" t="s">
        <v>7</v>
      </c>
      <c r="Q72" s="18" t="s">
        <v>1</v>
      </c>
      <c r="R72" s="18" t="s">
        <v>2</v>
      </c>
      <c r="S72" s="18" t="s">
        <v>3</v>
      </c>
      <c r="T72" s="18" t="s">
        <v>4</v>
      </c>
      <c r="U72" s="18" t="s">
        <v>5</v>
      </c>
      <c r="V72" s="18" t="s">
        <v>6</v>
      </c>
      <c r="W72" s="18" t="s">
        <v>7</v>
      </c>
      <c r="X72" s="18" t="s">
        <v>1</v>
      </c>
      <c r="Y72" s="18" t="s">
        <v>2</v>
      </c>
      <c r="Z72" s="18" t="s">
        <v>3</v>
      </c>
      <c r="AA72" s="18" t="s">
        <v>4</v>
      </c>
      <c r="AB72" s="18" t="s">
        <v>5</v>
      </c>
      <c r="AC72" s="18" t="s">
        <v>6</v>
      </c>
      <c r="AD72" s="18" t="s">
        <v>7</v>
      </c>
      <c r="AE72" s="18" t="s">
        <v>1</v>
      </c>
      <c r="AF72" s="18" t="s">
        <v>2</v>
      </c>
      <c r="AG72" s="18" t="s">
        <v>3</v>
      </c>
      <c r="AH72" s="18" t="s">
        <v>4</v>
      </c>
      <c r="AI72" s="18" t="s">
        <v>5</v>
      </c>
      <c r="AJ72" s="18" t="s">
        <v>6</v>
      </c>
      <c r="AK72" s="18" t="s">
        <v>7</v>
      </c>
      <c r="AL72" s="18" t="s">
        <v>1</v>
      </c>
      <c r="AM72" s="19" t="s">
        <v>2</v>
      </c>
    </row>
    <row r="73" spans="2:39" ht="18.95" customHeight="1" x14ac:dyDescent="0.3">
      <c r="B73" s="20" t="str">
        <f>IF(Job1_Name="","",Job1_Name)</f>
        <v>Job 1</v>
      </c>
      <c r="C73" s="21" t="str">
        <f t="shared" ref="C73:AM73" si="33">IF(OR(NOT(ISNUMBER(C71)),C71&lt;Job1_StartDate),"",IF(MID(Job1_Pattern,MOD(C71-Job1_StartDate,LEN(Job1_Pattern))+1,1)=Job1_Shift1_Code,1,IF(MID(Job1_Pattern,MOD(C71-Job1_StartDate,LEN(Job1_Pattern))+1,1)=Job1_Shift2_Code,2,IF(MID(Job1_Pattern,MOD(C71-Job1_StartDate,LEN(Job1_Pattern))+1,1)=Job1_Shift3_Code,3,""))))</f>
        <v/>
      </c>
      <c r="D73" s="21" t="str">
        <f t="shared" si="33"/>
        <v/>
      </c>
      <c r="E73" s="21">
        <f t="shared" si="33"/>
        <v>1</v>
      </c>
      <c r="F73" s="21">
        <f t="shared" si="33"/>
        <v>1</v>
      </c>
      <c r="G73" s="21">
        <f t="shared" si="33"/>
        <v>1</v>
      </c>
      <c r="H73" s="21" t="str">
        <f t="shared" si="33"/>
        <v/>
      </c>
      <c r="I73" s="21" t="str">
        <f t="shared" si="33"/>
        <v/>
      </c>
      <c r="J73" s="21">
        <f t="shared" si="33"/>
        <v>2</v>
      </c>
      <c r="K73" s="21">
        <f t="shared" si="33"/>
        <v>2</v>
      </c>
      <c r="L73" s="21">
        <f t="shared" si="33"/>
        <v>2</v>
      </c>
      <c r="M73" s="21">
        <f t="shared" si="33"/>
        <v>2</v>
      </c>
      <c r="N73" s="21" t="str">
        <f t="shared" si="33"/>
        <v/>
      </c>
      <c r="O73" s="21" t="str">
        <f t="shared" si="33"/>
        <v/>
      </c>
      <c r="P73" s="21">
        <f t="shared" si="33"/>
        <v>1</v>
      </c>
      <c r="Q73" s="21">
        <f t="shared" si="33"/>
        <v>1</v>
      </c>
      <c r="R73" s="21">
        <f t="shared" si="33"/>
        <v>1</v>
      </c>
      <c r="S73" s="21" t="str">
        <f t="shared" si="33"/>
        <v/>
      </c>
      <c r="T73" s="21">
        <f t="shared" si="33"/>
        <v>2</v>
      </c>
      <c r="U73" s="21">
        <f t="shared" si="33"/>
        <v>2</v>
      </c>
      <c r="V73" s="21">
        <f t="shared" si="33"/>
        <v>2</v>
      </c>
      <c r="W73" s="21" t="str">
        <f t="shared" si="33"/>
        <v/>
      </c>
      <c r="X73" s="21" t="str">
        <f t="shared" si="33"/>
        <v/>
      </c>
      <c r="Y73" s="21" t="str">
        <f t="shared" si="33"/>
        <v/>
      </c>
      <c r="Z73" s="21">
        <f t="shared" si="33"/>
        <v>1</v>
      </c>
      <c r="AA73" s="21">
        <f t="shared" si="33"/>
        <v>1</v>
      </c>
      <c r="AB73" s="21" t="str">
        <f t="shared" si="33"/>
        <v/>
      </c>
      <c r="AC73" s="21">
        <f t="shared" si="33"/>
        <v>2</v>
      </c>
      <c r="AD73" s="21">
        <f t="shared" si="33"/>
        <v>2</v>
      </c>
      <c r="AE73" s="21" t="str">
        <f t="shared" si="33"/>
        <v/>
      </c>
      <c r="AF73" s="21" t="str">
        <f t="shared" si="33"/>
        <v/>
      </c>
      <c r="AG73" s="21" t="str">
        <f t="shared" si="33"/>
        <v/>
      </c>
      <c r="AH73" s="21">
        <f t="shared" si="33"/>
        <v>1</v>
      </c>
      <c r="AI73" s="21">
        <f t="shared" si="33"/>
        <v>1</v>
      </c>
      <c r="AJ73" s="21" t="str">
        <f t="shared" si="33"/>
        <v/>
      </c>
      <c r="AK73" s="21" t="str">
        <f t="shared" si="33"/>
        <v/>
      </c>
      <c r="AL73" s="21" t="str">
        <f t="shared" si="33"/>
        <v/>
      </c>
      <c r="AM73" s="21" t="str">
        <f t="shared" si="33"/>
        <v/>
      </c>
    </row>
    <row r="74" spans="2:39" ht="18.95" customHeight="1" x14ac:dyDescent="0.3">
      <c r="B74" s="22" t="str">
        <f>IF(Job2_Name="","",Job2_Name)</f>
        <v>Job 2</v>
      </c>
      <c r="C74" s="23" t="str">
        <f t="shared" ref="C74:AM74" si="34">IF(OR(NOT(ISNUMBER(C71)),C71&lt;Job2_StartDate),"",IF(MID(Job2_Pattern,MOD(C71-Job2_StartDate,LEN(Job2_Pattern))+1,1)=Job2_Shift1_Code,1,IF(MID(Job2_Pattern,MOD(C71-Job2_StartDate,LEN(Job2_Pattern))+1,1)=Job2_Shift2_Code,2,IF(MID(Job2_Pattern,MOD(C71-Job2_StartDate,LEN(Job2_Pattern))+1,1)=Job2_Shift3_Code,3,""))))</f>
        <v/>
      </c>
      <c r="D74" s="23" t="str">
        <f t="shared" si="34"/>
        <v/>
      </c>
      <c r="E74" s="23" t="str">
        <f t="shared" si="34"/>
        <v/>
      </c>
      <c r="F74" s="23">
        <f t="shared" si="34"/>
        <v>2</v>
      </c>
      <c r="G74" s="23">
        <f t="shared" si="34"/>
        <v>2</v>
      </c>
      <c r="H74" s="23" t="str">
        <f t="shared" si="34"/>
        <v/>
      </c>
      <c r="I74" s="23">
        <f t="shared" si="34"/>
        <v>1</v>
      </c>
      <c r="J74" s="23">
        <f t="shared" si="34"/>
        <v>1</v>
      </c>
      <c r="K74" s="23" t="str">
        <f t="shared" si="34"/>
        <v/>
      </c>
      <c r="L74" s="23" t="str">
        <f t="shared" si="34"/>
        <v/>
      </c>
      <c r="M74" s="23" t="str">
        <f t="shared" si="34"/>
        <v/>
      </c>
      <c r="N74" s="23">
        <f t="shared" si="34"/>
        <v>2</v>
      </c>
      <c r="O74" s="23">
        <f t="shared" si="34"/>
        <v>2</v>
      </c>
      <c r="P74" s="23">
        <f t="shared" si="34"/>
        <v>2</v>
      </c>
      <c r="Q74" s="23">
        <f t="shared" si="34"/>
        <v>2</v>
      </c>
      <c r="R74" s="23" t="str">
        <f t="shared" si="34"/>
        <v/>
      </c>
      <c r="S74" s="23" t="str">
        <f t="shared" si="34"/>
        <v/>
      </c>
      <c r="T74" s="23" t="str">
        <f t="shared" si="34"/>
        <v/>
      </c>
      <c r="U74" s="23" t="str">
        <f t="shared" si="34"/>
        <v/>
      </c>
      <c r="V74" s="23" t="str">
        <f t="shared" si="34"/>
        <v/>
      </c>
      <c r="W74" s="23">
        <f t="shared" si="34"/>
        <v>1</v>
      </c>
      <c r="X74" s="23" t="str">
        <f t="shared" si="34"/>
        <v/>
      </c>
      <c r="Y74" s="23" t="str">
        <f t="shared" si="34"/>
        <v/>
      </c>
      <c r="Z74" s="23">
        <f t="shared" si="34"/>
        <v>2</v>
      </c>
      <c r="AA74" s="23">
        <f t="shared" si="34"/>
        <v>2</v>
      </c>
      <c r="AB74" s="23">
        <f t="shared" si="34"/>
        <v>2</v>
      </c>
      <c r="AC74" s="23" t="str">
        <f t="shared" si="34"/>
        <v/>
      </c>
      <c r="AD74" s="23" t="str">
        <f t="shared" si="34"/>
        <v/>
      </c>
      <c r="AE74" s="23">
        <f t="shared" si="34"/>
        <v>1</v>
      </c>
      <c r="AF74" s="23">
        <f t="shared" si="34"/>
        <v>1</v>
      </c>
      <c r="AG74" s="23" t="str">
        <f t="shared" si="34"/>
        <v/>
      </c>
      <c r="AH74" s="23" t="str">
        <f t="shared" si="34"/>
        <v/>
      </c>
      <c r="AI74" s="23" t="str">
        <f t="shared" si="34"/>
        <v/>
      </c>
      <c r="AJ74" s="23" t="str">
        <f t="shared" si="34"/>
        <v/>
      </c>
      <c r="AK74" s="23" t="str">
        <f t="shared" si="34"/>
        <v/>
      </c>
      <c r="AL74" s="23" t="str">
        <f t="shared" si="34"/>
        <v/>
      </c>
      <c r="AM74" s="23" t="str">
        <f t="shared" si="34"/>
        <v/>
      </c>
    </row>
    <row r="75" spans="2:39" ht="18.95" customHeight="1" x14ac:dyDescent="0.3">
      <c r="B75" s="22" t="str">
        <f>IF(Job3_Name="","",Job3_Name)</f>
        <v>Job 3</v>
      </c>
      <c r="C75" s="23" t="str">
        <f t="shared" ref="C75:AM75" si="35">IF(OR(NOT(ISNUMBER(C71)),C71&lt;Job3_StartDate),"",IF(MID(Job3_Pattern,MOD(C71-Job3_StartDate,LEN(Job3_Pattern))+1,1)=Job3_Shift1_Code,1,IF(MID(Job3_Pattern,MOD(C71-Job3_StartDate,LEN(Job3_Pattern))+1,1)=Job3_Shift2_Code,2,IF(MID(Job3_Pattern,MOD(C71-Job3_StartDate,LEN(Job3_Pattern))+1,1)=Job3_Shift3_Code,3,""))))</f>
        <v/>
      </c>
      <c r="D75" s="23" t="str">
        <f t="shared" si="35"/>
        <v/>
      </c>
      <c r="E75" s="23" t="str">
        <f t="shared" si="35"/>
        <v/>
      </c>
      <c r="F75" s="23">
        <f t="shared" si="35"/>
        <v>3</v>
      </c>
      <c r="G75" s="23" t="str">
        <f t="shared" si="35"/>
        <v/>
      </c>
      <c r="H75" s="23" t="str">
        <f t="shared" si="35"/>
        <v/>
      </c>
      <c r="I75" s="23" t="str">
        <f t="shared" si="35"/>
        <v/>
      </c>
      <c r="J75" s="23" t="str">
        <f t="shared" si="35"/>
        <v/>
      </c>
      <c r="K75" s="23" t="str">
        <f t="shared" si="35"/>
        <v/>
      </c>
      <c r="L75" s="23" t="str">
        <f t="shared" si="35"/>
        <v/>
      </c>
      <c r="M75" s="23">
        <f t="shared" si="35"/>
        <v>3</v>
      </c>
      <c r="N75" s="23">
        <f t="shared" si="35"/>
        <v>3</v>
      </c>
      <c r="O75" s="23" t="str">
        <f t="shared" si="35"/>
        <v/>
      </c>
      <c r="P75" s="23" t="str">
        <f t="shared" si="35"/>
        <v/>
      </c>
      <c r="Q75" s="23" t="str">
        <f t="shared" si="35"/>
        <v/>
      </c>
      <c r="R75" s="23">
        <f t="shared" si="35"/>
        <v>3</v>
      </c>
      <c r="S75" s="23">
        <f t="shared" si="35"/>
        <v>3</v>
      </c>
      <c r="T75" s="23" t="str">
        <f t="shared" si="35"/>
        <v/>
      </c>
      <c r="U75" s="23" t="str">
        <f t="shared" si="35"/>
        <v/>
      </c>
      <c r="V75" s="23" t="str">
        <f t="shared" si="35"/>
        <v/>
      </c>
      <c r="W75" s="23" t="str">
        <f t="shared" si="35"/>
        <v/>
      </c>
      <c r="X75" s="23">
        <f t="shared" si="35"/>
        <v>3</v>
      </c>
      <c r="Y75" s="23">
        <f t="shared" si="35"/>
        <v>3</v>
      </c>
      <c r="Z75" s="23" t="str">
        <f t="shared" si="35"/>
        <v/>
      </c>
      <c r="AA75" s="23" t="str">
        <f t="shared" si="35"/>
        <v/>
      </c>
      <c r="AB75" s="23" t="str">
        <f t="shared" si="35"/>
        <v/>
      </c>
      <c r="AC75" s="23" t="str">
        <f t="shared" si="35"/>
        <v/>
      </c>
      <c r="AD75" s="23">
        <f t="shared" si="35"/>
        <v>3</v>
      </c>
      <c r="AE75" s="23">
        <f t="shared" si="35"/>
        <v>3</v>
      </c>
      <c r="AF75" s="23">
        <f t="shared" si="35"/>
        <v>3</v>
      </c>
      <c r="AG75" s="23" t="str">
        <f t="shared" si="35"/>
        <v/>
      </c>
      <c r="AH75" s="23" t="str">
        <f t="shared" si="35"/>
        <v/>
      </c>
      <c r="AI75" s="23" t="str">
        <f t="shared" si="35"/>
        <v/>
      </c>
      <c r="AJ75" s="23" t="str">
        <f t="shared" si="35"/>
        <v/>
      </c>
      <c r="AK75" s="23" t="str">
        <f t="shared" si="35"/>
        <v/>
      </c>
      <c r="AL75" s="23" t="str">
        <f t="shared" si="35"/>
        <v/>
      </c>
      <c r="AM75" s="23" t="str">
        <f t="shared" si="35"/>
        <v/>
      </c>
    </row>
  </sheetData>
  <mergeCells count="13">
    <mergeCell ref="B5:B6"/>
    <mergeCell ref="B11:B12"/>
    <mergeCell ref="B17:B18"/>
    <mergeCell ref="B23:B24"/>
    <mergeCell ref="AH1:AM1"/>
    <mergeCell ref="B59:B60"/>
    <mergeCell ref="B65:B66"/>
    <mergeCell ref="B71:B72"/>
    <mergeCell ref="B29:B30"/>
    <mergeCell ref="B35:B36"/>
    <mergeCell ref="B41:B42"/>
    <mergeCell ref="B47:B48"/>
    <mergeCell ref="B53:B54"/>
  </mergeCells>
  <conditionalFormatting sqref="C5:AM5 C11:AM11 C17:AM17 C23:AM23 C29:AM29 C35:AM35 C41:AM41 C47:AM47 C53:AM53 C59:AM59 C65:AM65 C71:AM71">
    <cfRule type="expression" dxfId="5" priority="6">
      <formula>NOT(ISNUMBER(C5))</formula>
    </cfRule>
  </conditionalFormatting>
  <conditionalFormatting sqref="C6:AM6 C12:AM12 C18:AM18 C24:AM24 C30:AM30 C36:AM36 C42:AM42 C48:AM48 C54:AM54 C60:AM60 C66:AM66 C72:AM72">
    <cfRule type="expression" dxfId="4" priority="1" stopIfTrue="1">
      <formula>NOT(ISNUMBER(C5))</formula>
    </cfRule>
    <cfRule type="expression" dxfId="3" priority="5">
      <formula>OR(COUNTIF(C7:C9,1)&gt;1,COUNTIF(C7:C9,2)&gt;1,COUNTIF(C7:C9,3)&gt;1)</formula>
    </cfRule>
  </conditionalFormatting>
  <conditionalFormatting sqref="C7:AM9 C13:AM15 C19:AM21 C25:AM27 C31:AM33 C37:AM39 C43:AM45 C49:AM51 C55:AM57 C61:AM63 C67:AM69 C73:AM75">
    <cfRule type="cellIs" dxfId="2" priority="2" stopIfTrue="1" operator="equal">
      <formula>1</formula>
    </cfRule>
    <cfRule type="cellIs" dxfId="1" priority="3" stopIfTrue="1" operator="equal">
      <formula>2</formula>
    </cfRule>
    <cfRule type="cellIs" dxfId="0" priority="4" operator="equal">
      <formula>3</formula>
    </cfRule>
  </conditionalFormatting>
  <dataValidations count="2">
    <dataValidation allowBlank="1" showInputMessage="1" showErrorMessage="1" promptTitle="Shift Work Calendar" prompt="Use the spin buttons to change the calendar year. _x000a__x000a_Calendar automatically shows daily shift schedule for up to 3 jobs. Setup the job/shift details and pattern from the Jobs and Shifts tab._x000a__x000a_Days highlighted red indicate schedule conflicts." sqref="A1"/>
    <dataValidation allowBlank="1" showInputMessage="1" showErrorMessage="1" prompt="Use the spin buttons to quickly change the calendar year" sqref="AH1"/>
  </dataValidations>
  <printOptions horizontalCentered="1" verticalCentered="1"/>
  <pageMargins left="0.3" right="0.3" top="0.3" bottom="0.3" header="0.3" footer="0.3"/>
  <pageSetup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E3">
                <anchor moveWithCells="1">
                  <from>
                    <xdr:col>33</xdr:col>
                    <xdr:colOff>57150</xdr:colOff>
                    <xdr:row>0</xdr:row>
                    <xdr:rowOff>314325</xdr:rowOff>
                  </from>
                  <to>
                    <xdr:col>33</xdr:col>
                    <xdr:colOff>209550</xdr:colOff>
                    <xdr:row>0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2"/>
  <sheetViews>
    <sheetView showGridLines="0" showRowColHeaders="0" tabSelected="1" workbookViewId="0">
      <selection activeCell="G7" sqref="A1:XFD1048576"/>
    </sheetView>
  </sheetViews>
  <sheetFormatPr defaultColWidth="0" defaultRowHeight="21" customHeight="1" x14ac:dyDescent="0.3"/>
  <cols>
    <col min="1" max="1" width="1.77734375" style="34" customWidth="1"/>
    <col min="2" max="2" width="12" style="32" customWidth="1"/>
    <col min="3" max="3" width="10.88671875" style="32" customWidth="1"/>
    <col min="4" max="6" width="30.77734375" style="33" customWidth="1"/>
    <col min="7" max="7" width="1.77734375" style="34" customWidth="1"/>
    <col min="8" max="16384" width="8.88671875" style="34" hidden="1"/>
  </cols>
  <sheetData>
    <row r="1" spans="2:7" s="28" customFormat="1" ht="48.75" customHeight="1" x14ac:dyDescent="0.55000000000000004">
      <c r="B1" s="25" t="s">
        <v>12</v>
      </c>
      <c r="C1" s="26"/>
      <c r="D1" s="27"/>
      <c r="E1" s="27"/>
      <c r="F1" s="27"/>
      <c r="G1" s="28" t="s">
        <v>0</v>
      </c>
    </row>
    <row r="3" spans="2:7" s="31" customFormat="1" ht="30" customHeight="1" x14ac:dyDescent="0.3">
      <c r="B3" s="29"/>
      <c r="C3" s="29"/>
      <c r="D3" s="30" t="s">
        <v>8</v>
      </c>
      <c r="E3" s="30" t="s">
        <v>9</v>
      </c>
      <c r="F3" s="30" t="s">
        <v>10</v>
      </c>
    </row>
    <row r="4" spans="2:7" ht="9" customHeight="1" x14ac:dyDescent="0.3"/>
    <row r="5" spans="2:7" ht="30" customHeight="1" x14ac:dyDescent="0.3">
      <c r="B5" s="35" t="s">
        <v>13</v>
      </c>
      <c r="C5" s="35"/>
      <c r="D5" s="36" t="s">
        <v>8</v>
      </c>
      <c r="E5" s="37" t="s">
        <v>9</v>
      </c>
      <c r="F5" s="37" t="s">
        <v>10</v>
      </c>
    </row>
    <row r="6" spans="2:7" ht="9" customHeight="1" x14ac:dyDescent="0.3"/>
    <row r="7" spans="2:7" ht="21" customHeight="1" x14ac:dyDescent="0.3">
      <c r="B7" s="38" t="s">
        <v>14</v>
      </c>
      <c r="C7" s="39" t="s">
        <v>15</v>
      </c>
      <c r="D7" s="40" t="s">
        <v>21</v>
      </c>
      <c r="E7" s="40" t="s">
        <v>21</v>
      </c>
      <c r="F7" s="40"/>
    </row>
    <row r="8" spans="2:7" ht="21" customHeight="1" x14ac:dyDescent="0.3">
      <c r="B8" s="41"/>
      <c r="C8" s="42" t="s">
        <v>16</v>
      </c>
      <c r="D8" s="40" t="s">
        <v>23</v>
      </c>
      <c r="E8" s="40" t="s">
        <v>23</v>
      </c>
      <c r="F8" s="40"/>
    </row>
    <row r="9" spans="2:7" ht="21" customHeight="1" x14ac:dyDescent="0.3">
      <c r="B9" s="43"/>
      <c r="C9" s="44" t="s">
        <v>17</v>
      </c>
      <c r="D9" s="40" t="s">
        <v>32</v>
      </c>
      <c r="E9" s="40" t="s">
        <v>32</v>
      </c>
      <c r="F9" s="40"/>
    </row>
    <row r="10" spans="2:7" ht="9" customHeight="1" x14ac:dyDescent="0.3"/>
    <row r="11" spans="2:7" ht="21" customHeight="1" x14ac:dyDescent="0.3">
      <c r="B11" s="45" t="s">
        <v>18</v>
      </c>
      <c r="C11" s="46" t="s">
        <v>15</v>
      </c>
      <c r="D11" s="47" t="s">
        <v>22</v>
      </c>
      <c r="E11" s="47" t="s">
        <v>22</v>
      </c>
      <c r="F11" s="47"/>
    </row>
    <row r="12" spans="2:7" ht="21" customHeight="1" x14ac:dyDescent="0.3">
      <c r="B12" s="48"/>
      <c r="C12" s="49" t="s">
        <v>16</v>
      </c>
      <c r="D12" s="47" t="s">
        <v>24</v>
      </c>
      <c r="E12" s="47" t="s">
        <v>24</v>
      </c>
      <c r="F12" s="47"/>
    </row>
    <row r="13" spans="2:7" ht="21" customHeight="1" x14ac:dyDescent="0.3">
      <c r="B13" s="50"/>
      <c r="C13" s="51" t="s">
        <v>17</v>
      </c>
      <c r="D13" s="47" t="s">
        <v>33</v>
      </c>
      <c r="E13" s="47" t="s">
        <v>33</v>
      </c>
      <c r="F13" s="47"/>
    </row>
    <row r="14" spans="2:7" ht="9" customHeight="1" x14ac:dyDescent="0.3"/>
    <row r="15" spans="2:7" ht="21" customHeight="1" x14ac:dyDescent="0.3">
      <c r="B15" s="52" t="s">
        <v>19</v>
      </c>
      <c r="C15" s="53" t="s">
        <v>15</v>
      </c>
      <c r="D15" s="54"/>
      <c r="E15" s="54"/>
      <c r="F15" s="54" t="s">
        <v>29</v>
      </c>
    </row>
    <row r="16" spans="2:7" ht="21" customHeight="1" x14ac:dyDescent="0.3">
      <c r="B16" s="55"/>
      <c r="C16" s="56" t="s">
        <v>16</v>
      </c>
      <c r="D16" s="54"/>
      <c r="E16" s="54"/>
      <c r="F16" s="54" t="s">
        <v>30</v>
      </c>
    </row>
    <row r="17" spans="2:6" ht="21" customHeight="1" x14ac:dyDescent="0.3">
      <c r="B17" s="57"/>
      <c r="C17" s="58" t="s">
        <v>17</v>
      </c>
      <c r="D17" s="54"/>
      <c r="E17" s="54"/>
      <c r="F17" s="54" t="s">
        <v>31</v>
      </c>
    </row>
    <row r="18" spans="2:6" ht="9" customHeight="1" x14ac:dyDescent="0.3"/>
    <row r="19" spans="2:6" ht="30" customHeight="1" x14ac:dyDescent="0.3">
      <c r="B19" s="59" t="s">
        <v>26</v>
      </c>
      <c r="C19" s="35"/>
      <c r="D19" s="36" t="s">
        <v>20</v>
      </c>
      <c r="E19" s="37" t="s">
        <v>20</v>
      </c>
      <c r="F19" s="37" t="s">
        <v>20</v>
      </c>
    </row>
    <row r="20" spans="2:6" ht="9" customHeight="1" x14ac:dyDescent="0.3"/>
    <row r="21" spans="2:6" ht="30" customHeight="1" x14ac:dyDescent="0.3">
      <c r="B21" s="60" t="s">
        <v>25</v>
      </c>
      <c r="C21" s="61"/>
      <c r="D21" s="62">
        <f>DATE(CalendarYear,1,5)</f>
        <v>43835</v>
      </c>
      <c r="E21" s="63">
        <f>DATE(CalendarYear,1,15)</f>
        <v>43845</v>
      </c>
      <c r="F21" s="63">
        <f>DATE(CalendarYear,1,19)</f>
        <v>43849</v>
      </c>
    </row>
    <row r="22" spans="2:6" ht="30" customHeight="1" x14ac:dyDescent="0.3">
      <c r="B22" s="64" t="s">
        <v>11</v>
      </c>
      <c r="C22" s="65"/>
      <c r="D22" s="36" t="s">
        <v>27</v>
      </c>
      <c r="E22" s="37" t="s">
        <v>28</v>
      </c>
      <c r="F22" s="36" t="s">
        <v>34</v>
      </c>
    </row>
  </sheetData>
  <mergeCells count="7">
    <mergeCell ref="B15:B17"/>
    <mergeCell ref="B5:C5"/>
    <mergeCell ref="B21:C21"/>
    <mergeCell ref="B22:C22"/>
    <mergeCell ref="B19:C19"/>
    <mergeCell ref="B7:B9"/>
    <mergeCell ref="B11:B13"/>
  </mergeCells>
  <dataValidations count="9">
    <dataValidation allowBlank="1" showInputMessage="1" showErrorMessage="1" prompt="In this tab, you can setup the:_x000a_- job description_x000a_- details for each shift_x000a_- shift pattern and start date_x000a__x000a_When shifts conflict here, they will be indicated in red highlight of the day of the week on the Shift Work Calendar tab." sqref="A1"/>
    <dataValidation allowBlank="1" showInputMessage="1" showErrorMessage="1" prompt="In this row, type in a description for each of the Jobs" sqref="B5:C5"/>
    <dataValidation allowBlank="1" showInputMessage="1" showErrorMessage="1" prompt="In these rows, enter details of Shift 1 for each Job" sqref="B7:B9"/>
    <dataValidation allowBlank="1" showInputMessage="1" showErrorMessage="1" prompt="In these rows, enter details of Shift 2 for each Job" sqref="B11:B13"/>
    <dataValidation allowBlank="1" showInputMessage="1" showErrorMessage="1" prompt="In these rows, enter details of Shift 3 for each Job" sqref="B15:B17"/>
    <dataValidation allowBlank="1" showInputMessage="1" showErrorMessage="1" prompt="Set the shift pattern by using the Code letters of the different Shifts" sqref="D22 E22 F22"/>
    <dataValidation allowBlank="1" showInputMessage="1" showErrorMessage="1" prompt="In this row, enter the shift shift pattern by using the Code letters of the different Shifts" sqref="B22:C22"/>
    <dataValidation allowBlank="1" showInputMessage="1" showErrorMessage="1" prompt="In this row, enter the Start Date of the Shift Pattern for each Job" sqref="B21:C21"/>
    <dataValidation allowBlank="1" showInputMessage="1" showErrorMessage="1" prompt="Make sure to use only one letter as Shift Code" sqref="D8 D12 D16 E16 E12 E8 F8 F12 F16"/>
  </dataValidations>
  <pageMargins left="0.3" right="0.3" top="0.3" bottom="0.3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78B39E-F25B-497F-AEEC-91B6A327B9D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67070F5E-656C-4433-A894-6CD92555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E67587-31CB-4B73-8967-ABA78EA88C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Shift Work Calendar</vt:lpstr>
      <vt:lpstr>Jobs and Shifts</vt:lpstr>
      <vt:lpstr>CalendarYear</vt:lpstr>
      <vt:lpstr>Job1_DayOff_Code</vt:lpstr>
      <vt:lpstr>Job1_Name</vt:lpstr>
      <vt:lpstr>Job1_Pattern</vt:lpstr>
      <vt:lpstr>Job1_Shift1_Code</vt:lpstr>
      <vt:lpstr>Job1_Shift2_Code</vt:lpstr>
      <vt:lpstr>Job1_Shift3_Code</vt:lpstr>
      <vt:lpstr>Job1_StartDate</vt:lpstr>
      <vt:lpstr>Job2_DayOff_Code</vt:lpstr>
      <vt:lpstr>Job2_Name</vt:lpstr>
      <vt:lpstr>Job2_Pattern</vt:lpstr>
      <vt:lpstr>Job2_Shift1_Code</vt:lpstr>
      <vt:lpstr>Job2_Shift2_Code</vt:lpstr>
      <vt:lpstr>Job2_Shift3_Code</vt:lpstr>
      <vt:lpstr>Job2_StartDate</vt:lpstr>
      <vt:lpstr>Job3_DayOff_Code</vt:lpstr>
      <vt:lpstr>Job3_Name</vt:lpstr>
      <vt:lpstr>Job3_Pattern</vt:lpstr>
      <vt:lpstr>Job3_Shift1_Code</vt:lpstr>
      <vt:lpstr>Job3_Shift2_Code</vt:lpstr>
      <vt:lpstr>Job3_Shift3_Code</vt:lpstr>
      <vt:lpstr>Job3_StartDate</vt:lpstr>
      <vt:lpstr>Range_Dates</vt:lpstr>
      <vt:lpstr>Range_Days</vt:lpstr>
      <vt:lpstr>Range_Weekdays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2019-02-18T23:05:43Z</dcterms:created>
  <dcterms:modified xsi:type="dcterms:W3CDTF">2020-06-10T07:52:09Z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