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NEST9\Feb\uploading\personal budget\"/>
    </mc:Choice>
  </mc:AlternateContent>
  <xr:revisionPtr revIDLastSave="0" documentId="13_ncr:1_{9BEB8B9E-A62C-40E6-B690-EF199908D5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SONAL BUDGET" sheetId="1" r:id="rId1"/>
  </sheets>
  <definedNames>
    <definedName name="LastCol">COUNTA('PERSONAL BUDGET'!$3:$3)+1</definedName>
    <definedName name="PrintArea_SET">OFFSET('PERSONAL BUDGET'!$B$1,,,MATCH(REPT("z",255),'PERSONAL BUDGET'!$B:$B),LastCol)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" i="1" l="1"/>
  <c r="O15" i="1"/>
  <c r="O12" i="1"/>
  <c r="O14" i="1"/>
  <c r="O13" i="1"/>
  <c r="D102" i="1" l="1"/>
  <c r="E102" i="1"/>
  <c r="F102" i="1"/>
  <c r="G102" i="1"/>
  <c r="H102" i="1"/>
  <c r="I102" i="1"/>
  <c r="J102" i="1"/>
  <c r="K102" i="1"/>
  <c r="L102" i="1"/>
  <c r="M102" i="1"/>
  <c r="N102" i="1"/>
  <c r="C102" i="1"/>
  <c r="D94" i="1"/>
  <c r="E94" i="1"/>
  <c r="F94" i="1"/>
  <c r="G94" i="1"/>
  <c r="H94" i="1"/>
  <c r="I94" i="1"/>
  <c r="J94" i="1"/>
  <c r="K94" i="1"/>
  <c r="L94" i="1"/>
  <c r="M94" i="1"/>
  <c r="N94" i="1"/>
  <c r="C94" i="1"/>
  <c r="D86" i="1"/>
  <c r="E86" i="1"/>
  <c r="F86" i="1"/>
  <c r="G86" i="1"/>
  <c r="H86" i="1"/>
  <c r="I86" i="1"/>
  <c r="J86" i="1"/>
  <c r="K86" i="1"/>
  <c r="L86" i="1"/>
  <c r="M86" i="1"/>
  <c r="N86" i="1"/>
  <c r="C86" i="1"/>
  <c r="D78" i="1"/>
  <c r="E78" i="1"/>
  <c r="F78" i="1"/>
  <c r="G78" i="1"/>
  <c r="H78" i="1"/>
  <c r="I78" i="1"/>
  <c r="J78" i="1"/>
  <c r="K78" i="1"/>
  <c r="L78" i="1"/>
  <c r="M78" i="1"/>
  <c r="N78" i="1"/>
  <c r="C78" i="1"/>
  <c r="D68" i="1"/>
  <c r="E68" i="1"/>
  <c r="F68" i="1"/>
  <c r="G68" i="1"/>
  <c r="H68" i="1"/>
  <c r="I68" i="1"/>
  <c r="J68" i="1"/>
  <c r="K68" i="1"/>
  <c r="L68" i="1"/>
  <c r="M68" i="1"/>
  <c r="N68" i="1"/>
  <c r="C68" i="1"/>
  <c r="D61" i="1"/>
  <c r="E61" i="1"/>
  <c r="F61" i="1"/>
  <c r="G61" i="1"/>
  <c r="H61" i="1"/>
  <c r="I61" i="1"/>
  <c r="J61" i="1"/>
  <c r="K61" i="1"/>
  <c r="L61" i="1"/>
  <c r="M61" i="1"/>
  <c r="N61" i="1"/>
  <c r="C61" i="1"/>
  <c r="D52" i="1"/>
  <c r="E52" i="1"/>
  <c r="F52" i="1"/>
  <c r="G52" i="1"/>
  <c r="H52" i="1"/>
  <c r="I52" i="1"/>
  <c r="J52" i="1"/>
  <c r="K52" i="1"/>
  <c r="L52" i="1"/>
  <c r="M52" i="1"/>
  <c r="N52" i="1"/>
  <c r="C52" i="1"/>
  <c r="O98" i="1"/>
  <c r="O99" i="1"/>
  <c r="O100" i="1"/>
  <c r="O101" i="1"/>
  <c r="O97" i="1"/>
  <c r="O90" i="1"/>
  <c r="O91" i="1"/>
  <c r="O92" i="1"/>
  <c r="O93" i="1"/>
  <c r="O89" i="1"/>
  <c r="O82" i="1"/>
  <c r="O83" i="1"/>
  <c r="O84" i="1"/>
  <c r="O85" i="1"/>
  <c r="O81" i="1"/>
  <c r="O72" i="1"/>
  <c r="O73" i="1"/>
  <c r="O74" i="1"/>
  <c r="O75" i="1"/>
  <c r="O76" i="1"/>
  <c r="O77" i="1"/>
  <c r="O71" i="1"/>
  <c r="O65" i="1"/>
  <c r="O66" i="1"/>
  <c r="O67" i="1"/>
  <c r="O64" i="1"/>
  <c r="O56" i="1"/>
  <c r="O57" i="1"/>
  <c r="O58" i="1"/>
  <c r="O59" i="1"/>
  <c r="O60" i="1"/>
  <c r="O55" i="1"/>
  <c r="O46" i="1"/>
  <c r="O47" i="1"/>
  <c r="O48" i="1"/>
  <c r="O49" i="1"/>
  <c r="O50" i="1"/>
  <c r="O51" i="1"/>
  <c r="O45" i="1"/>
  <c r="D42" i="1"/>
  <c r="E42" i="1"/>
  <c r="F42" i="1"/>
  <c r="G42" i="1"/>
  <c r="H42" i="1"/>
  <c r="I42" i="1"/>
  <c r="J42" i="1"/>
  <c r="K42" i="1"/>
  <c r="L42" i="1"/>
  <c r="M42" i="1"/>
  <c r="N42" i="1"/>
  <c r="C42" i="1"/>
  <c r="O39" i="1"/>
  <c r="O40" i="1"/>
  <c r="O41" i="1"/>
  <c r="O38" i="1"/>
  <c r="D35" i="1"/>
  <c r="E35" i="1"/>
  <c r="F35" i="1"/>
  <c r="G35" i="1"/>
  <c r="H35" i="1"/>
  <c r="I35" i="1"/>
  <c r="J35" i="1"/>
  <c r="K35" i="1"/>
  <c r="L35" i="1"/>
  <c r="M35" i="1"/>
  <c r="N35" i="1"/>
  <c r="C35" i="1"/>
  <c r="O30" i="1"/>
  <c r="O31" i="1"/>
  <c r="O32" i="1"/>
  <c r="O33" i="1"/>
  <c r="O34" i="1"/>
  <c r="O29" i="1"/>
  <c r="D26" i="1"/>
  <c r="E26" i="1"/>
  <c r="F26" i="1"/>
  <c r="G26" i="1"/>
  <c r="H26" i="1"/>
  <c r="I26" i="1"/>
  <c r="J26" i="1"/>
  <c r="K26" i="1"/>
  <c r="L26" i="1"/>
  <c r="M26" i="1"/>
  <c r="N26" i="1"/>
  <c r="C26" i="1"/>
  <c r="O21" i="1"/>
  <c r="O22" i="1"/>
  <c r="O23" i="1"/>
  <c r="O24" i="1"/>
  <c r="O25" i="1"/>
  <c r="O20" i="1"/>
  <c r="D17" i="1"/>
  <c r="E17" i="1"/>
  <c r="F17" i="1"/>
  <c r="G17" i="1"/>
  <c r="H17" i="1"/>
  <c r="I17" i="1"/>
  <c r="J17" i="1"/>
  <c r="K17" i="1"/>
  <c r="L17" i="1"/>
  <c r="M17" i="1"/>
  <c r="N17" i="1"/>
  <c r="C17" i="1"/>
  <c r="O42" i="1" l="1"/>
  <c r="O94" i="1"/>
  <c r="O86" i="1"/>
  <c r="O78" i="1"/>
  <c r="O68" i="1"/>
  <c r="O61" i="1"/>
  <c r="O52" i="1"/>
  <c r="K105" i="1"/>
  <c r="O35" i="1"/>
  <c r="O26" i="1"/>
  <c r="O17" i="1"/>
  <c r="J105" i="1"/>
  <c r="I105" i="1"/>
  <c r="H105" i="1"/>
  <c r="C105" i="1"/>
  <c r="G105" i="1"/>
  <c r="N105" i="1"/>
  <c r="M105" i="1"/>
  <c r="L105" i="1"/>
  <c r="D105" i="1"/>
  <c r="F105" i="1"/>
  <c r="E105" i="1"/>
  <c r="O102" i="1"/>
  <c r="N8" i="1"/>
  <c r="F8" i="1"/>
  <c r="K8" i="1"/>
  <c r="M8" i="1"/>
  <c r="E8" i="1"/>
  <c r="D8" i="1"/>
  <c r="H8" i="1"/>
  <c r="G8" i="1"/>
  <c r="C8" i="1"/>
  <c r="L8" i="1"/>
  <c r="J8" i="1"/>
  <c r="O7" i="1"/>
  <c r="O6" i="1"/>
  <c r="I8" i="1"/>
  <c r="O5" i="1"/>
  <c r="C106" i="1" l="1"/>
  <c r="K106" i="1"/>
  <c r="I106" i="1"/>
  <c r="H106" i="1"/>
  <c r="E106" i="1"/>
  <c r="M106" i="1"/>
  <c r="G106" i="1"/>
  <c r="O105" i="1"/>
  <c r="J106" i="1"/>
  <c r="L106" i="1"/>
  <c r="F106" i="1"/>
  <c r="N106" i="1"/>
  <c r="D106" i="1"/>
  <c r="O8" i="1"/>
  <c r="O106" i="1" l="1"/>
</calcChain>
</file>

<file path=xl/sharedStrings.xml><?xml version="1.0" encoding="utf-8"?>
<sst xmlns="http://schemas.openxmlformats.org/spreadsheetml/2006/main" count="317" uniqueCount="119">
  <si>
    <t>Wages</t>
  </si>
  <si>
    <t>Miscellaneous</t>
  </si>
  <si>
    <t>Utilities</t>
  </si>
  <si>
    <t xml:space="preserve">Groceries </t>
  </si>
  <si>
    <t>Child care</t>
  </si>
  <si>
    <t>Dry cleaning</t>
  </si>
  <si>
    <t>Dining out</t>
  </si>
  <si>
    <t>Housecleaning service</t>
  </si>
  <si>
    <t>Dog walker</t>
  </si>
  <si>
    <t>Gas/fuel</t>
  </si>
  <si>
    <t>Insurance</t>
  </si>
  <si>
    <t>Repairs</t>
  </si>
  <si>
    <t>Car wash/detailing services</t>
  </si>
  <si>
    <t>Parking</t>
  </si>
  <si>
    <t>Public transportation</t>
  </si>
  <si>
    <t>Cable TV</t>
  </si>
  <si>
    <t>Video/DVD rentals</t>
  </si>
  <si>
    <t>Movies/plays</t>
  </si>
  <si>
    <t>Concerts/clubs</t>
  </si>
  <si>
    <t>Health club dues</t>
  </si>
  <si>
    <t>Prescriptions</t>
  </si>
  <si>
    <t>Over-the-counter drugs</t>
  </si>
  <si>
    <t>Co-payments/out-of-pocket</t>
  </si>
  <si>
    <t>Veterinarians/pet medicines</t>
  </si>
  <si>
    <t>Life insurance</t>
  </si>
  <si>
    <t>Plane fare</t>
  </si>
  <si>
    <t>Accommodations</t>
  </si>
  <si>
    <t>Food</t>
  </si>
  <si>
    <t>Souvenirs</t>
  </si>
  <si>
    <t>Pet boarding</t>
  </si>
  <si>
    <t>Rental car</t>
  </si>
  <si>
    <t>Gym fees</t>
  </si>
  <si>
    <t>Sports equipment</t>
  </si>
  <si>
    <t>Team dues</t>
  </si>
  <si>
    <t>Toys/child gear</t>
  </si>
  <si>
    <t>Magazines</t>
  </si>
  <si>
    <t>Newspapers</t>
  </si>
  <si>
    <t>Internet connection</t>
  </si>
  <si>
    <t>Public radio</t>
  </si>
  <si>
    <t>Public television</t>
  </si>
  <si>
    <t>Religious organizations</t>
  </si>
  <si>
    <t>Charity</t>
  </si>
  <si>
    <t>Clothing</t>
  </si>
  <si>
    <t>Gifts</t>
  </si>
  <si>
    <t>Salon/barber</t>
  </si>
  <si>
    <t>Books</t>
  </si>
  <si>
    <t>Music (CDs, etc.)</t>
  </si>
  <si>
    <t>Long-term savings</t>
  </si>
  <si>
    <t>Retirement (401k, Roth IRA)</t>
  </si>
  <si>
    <t>Credit card payments</t>
  </si>
  <si>
    <t>Income tax (additional)</t>
  </si>
  <si>
    <t>Other obligations</t>
  </si>
  <si>
    <t xml:space="preserve">   Other</t>
  </si>
  <si>
    <t>Total expenses</t>
  </si>
  <si>
    <t>Cash short/extra</t>
  </si>
  <si>
    <t>Total</t>
  </si>
  <si>
    <t>INCOME</t>
  </si>
  <si>
    <t>EXPENSES</t>
  </si>
  <si>
    <t>HOME</t>
  </si>
  <si>
    <t>TRANSPORTATION</t>
  </si>
  <si>
    <t>DAILY LIVING</t>
  </si>
  <si>
    <t>ENTERTAINMENT</t>
  </si>
  <si>
    <t>HEALTH</t>
  </si>
  <si>
    <t>VACATIONS</t>
  </si>
  <si>
    <t>RECREATION</t>
  </si>
  <si>
    <t>DUES/SUBSCRIPTION</t>
  </si>
  <si>
    <t>PERSONAL</t>
  </si>
  <si>
    <t>FINANCIAL OBLIGATIONS</t>
  </si>
  <si>
    <t>MISC PAYMENTS</t>
  </si>
  <si>
    <t>TOTALS</t>
  </si>
  <si>
    <t>JAN</t>
  </si>
  <si>
    <t>FEB</t>
  </si>
  <si>
    <t>MAY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</si>
  <si>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</si>
  <si>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</si>
  <si>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</si>
  <si>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</si>
  <si>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</si>
  <si>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</si>
  <si>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</si>
  <si>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</si>
  <si>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</si>
  <si>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YEAR</t>
  </si>
  <si>
    <t>REVENUE</t>
  </si>
  <si>
    <t>Mortgage</t>
  </si>
  <si>
    <t>Services</t>
  </si>
  <si>
    <t>Interest/Dividends</t>
  </si>
  <si>
    <t>March</t>
  </si>
  <si>
    <t>April</t>
  </si>
  <si>
    <t>May</t>
  </si>
  <si>
    <t>June</t>
  </si>
  <si>
    <t>July</t>
  </si>
  <si>
    <t>Year</t>
  </si>
  <si>
    <t>PERSONAL BUDGET</t>
  </si>
  <si>
    <t>January</t>
  </si>
  <si>
    <t>February</t>
  </si>
  <si>
    <t>August</t>
  </si>
  <si>
    <t>September</t>
  </si>
  <si>
    <t>October</t>
  </si>
  <si>
    <t>November</t>
  </si>
  <si>
    <t>December</t>
  </si>
  <si>
    <t>Sparkline</t>
  </si>
  <si>
    <t>Title of this worksheet is in cell at right. Enter year in cell Q2. Next instruction is in cell A4.</t>
  </si>
  <si>
    <t>Labels are in cells C4 through P4.</t>
  </si>
  <si>
    <t>Enter details in Income table starting in cell C5. Next instruction is in cell A11.</t>
  </si>
  <si>
    <t>Labels are in cells C11 through P11.</t>
  </si>
  <si>
    <t>Enter Home expenses in table starting in cell C12. Next instruction is in cell A20.</t>
  </si>
  <si>
    <t>Enter Daily expenses in table starting in cell C20. Next instruction is in cell A29.</t>
  </si>
  <si>
    <t>Enter Transportation expenses in table starting in cell C29. Next instruction is in cell A38.</t>
  </si>
  <si>
    <t>Enter Entertainment expenses in table starting in cell C38. Next instruction is in cell A45.</t>
  </si>
  <si>
    <t>Enter Health expenses in table starting in cell C45. Next instruction is in cell A55.</t>
  </si>
  <si>
    <t>Enter Vacations expenses in table starting in cell C55. Next instruction is in cell A64.</t>
  </si>
  <si>
    <t>Enter Recreation expenses in table starting in cell C64. Next instruction is in cell A71.</t>
  </si>
  <si>
    <t>Enter expenses in Dues and Subscription table starting in cell C71. Next instruction is in cell A81.</t>
  </si>
  <si>
    <t>Enter Personal expenses in table starting in cell C81. Next instruction is in cell A89.</t>
  </si>
  <si>
    <t>Enter Financial Obligations in table starting in cell C89. Next instruction is in cell A97.</t>
  </si>
  <si>
    <t>Enter Miscellaneous Payments in table starting in cell C97. Next instruction is in cell A105.</t>
  </si>
  <si>
    <t>Totals are auto calculated in table starting in cell C105. Total expenses and Cash shortage or surplus are auto calculated for each month and entire year, and sparklines are updated.</t>
  </si>
  <si>
    <t>SPARKLINE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</si>
</sst>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21" x14ac:knownFonts="1">
    <font>
      <sz val="10"/>
      <color theme="1" tint="0.14993743705557422"/>
      <name val="verdana"/>
      <family val="2"/>
      <scheme val="minor"/>
    </font>
    <font>
      <b/>
      <sz val="10"/>
      <color theme="1" tint="0.14990691854609822"/>
      <name val="Gill Sans MT"/>
      <family val="2"/>
      <scheme val="major"/>
    </font>
    <font>
      <sz val="11"/>
      <color theme="1" tint="0.14993743705557422"/>
      <name val="Gill Sans MT"/>
      <family val="2"/>
      <scheme val="major"/>
    </font>
    <font>
      <sz val="22"/>
      <color theme="1" tint="0.14993743705557422"/>
      <name val="Gill Sans MT"/>
      <family val="2"/>
      <scheme val="major"/>
    </font>
    <font>
      <sz val="10"/>
      <color theme="4" tint="-0.499984740745262"/>
      <name val="verdana"/>
      <family val="2"/>
      <scheme val="minor"/>
    </font>
    <font>
      <sz val="10"/>
      <color theme="5" tint="-0.499984740745262"/>
      <name val="verdana"/>
      <family val="2"/>
      <scheme val="minor"/>
    </font>
    <font>
      <sz val="11"/>
      <color theme="1" tint="0.34998626667073579"/>
      <name val="Gill Sans MT"/>
      <family val="2"/>
      <scheme val="major"/>
    </font>
    <font>
      <sz val="10"/>
      <color theme="0"/>
      <name val="verdana"/>
      <family val="2"/>
      <scheme val="minor"/>
    </font>
    <font>
      <b/>
      <sz val="25"/>
      <color rgb="FF000000"/>
      <name val="Gill Sans MT"/>
      <family val="2"/>
    </font>
    <font>
      <sz val="10"/>
      <color rgb="FFF7F7F7"/>
      <name val="verdana"/>
      <family val="2"/>
      <scheme val="minor"/>
    </font>
    <font>
      <sz val="11"/>
      <color rgb="FFF7F7F7"/>
      <name val="Calibri"/>
      <family val="2"/>
    </font>
    <font>
      <b/>
      <sz val="10"/>
      <color theme="1"/>
      <name val="Gill Sans MT"/>
      <family val="2"/>
      <scheme val="major"/>
    </font>
    <font>
      <b/>
      <sz val="25"/>
      <color rgb="FF0038BF"/>
      <name val="Gill Sans MT"/>
      <family val="2"/>
    </font>
    <font>
      <b/>
      <sz val="10"/>
      <color rgb="FF0038BF"/>
      <name val="Gill Sans MT"/>
      <family val="2"/>
      <scheme val="major"/>
    </font>
    <font>
      <sz val="10"/>
      <color rgb="FF0038BF"/>
      <name val="verdana"/>
      <family val="2"/>
      <scheme val="minor"/>
    </font>
    <font>
      <b/>
      <sz val="10"/>
      <color rgb="FF18D499"/>
      <name val="Gill Sans MT"/>
      <family val="2"/>
      <scheme val="major"/>
    </font>
    <font>
      <sz val="10"/>
      <color rgb="FF18D499"/>
      <name val="verdana"/>
      <family val="2"/>
      <scheme val="minor"/>
    </font>
    <font>
      <b/>
      <sz val="10"/>
      <color rgb="FFF49A25"/>
      <name val="Gill Sans MT"/>
      <family val="2"/>
      <scheme val="major"/>
    </font>
    <font>
      <sz val="10"/>
      <color rgb="FFF49A25"/>
      <name val="verdana"/>
      <family val="2"/>
      <scheme val="minor"/>
    </font>
    <font>
      <b/>
      <sz val="10"/>
      <color rgb="FFF49A25"/>
      <name val="verdana"/>
      <family val="2"/>
      <scheme val="minor"/>
    </font>
    <font>
      <sz val="10"/>
      <color theme="1"/>
      <name val="verdana"/>
      <family val="2"/>
      <scheme val="minor"/>
    </font>
  </fonts>
  <fills count="11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5" tint="0.80001220740379042"/>
        </stop>
      </gradientFill>
    </fill>
    <fill>
      <patternFill patternType="solid">
        <fgColor rgb="FFEFF5FF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C0D5FF"/>
        <bgColor indexed="64"/>
      </patternFill>
    </fill>
    <fill>
      <patternFill patternType="solid">
        <fgColor rgb="FFCEFAEC"/>
        <bgColor indexed="64"/>
      </patternFill>
    </fill>
    <fill>
      <patternFill patternType="solid">
        <fgColor rgb="FFFDEEDB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0"/>
      </bottom>
      <diagonal/>
    </border>
    <border>
      <left/>
      <right style="medium">
        <color theme="4" tint="0.79998168889431442"/>
      </right>
      <top/>
      <bottom/>
      <diagonal/>
    </border>
    <border>
      <left/>
      <right style="medium">
        <color theme="5" tint="0.79998168889431442"/>
      </right>
      <top/>
      <bottom/>
      <diagonal/>
    </border>
  </borders>
  <cellStyleXfs count="5">
    <xf numFmtId="0" fontId="0" fillId="7" borderId="0">
      <alignment vertical="center"/>
    </xf>
    <xf numFmtId="0" fontId="3" fillId="0" borderId="0" applyNumberFormat="0" applyFill="0" applyProtection="0">
      <alignment vertical="center"/>
    </xf>
    <xf numFmtId="0" fontId="2" fillId="0" borderId="1" applyNumberFormat="0" applyFill="0" applyProtection="0">
      <alignment vertical="center"/>
    </xf>
    <xf numFmtId="0" fontId="1" fillId="4" borderId="0" applyNumberFormat="0" applyProtection="0">
      <alignment horizontal="left" vertical="center" indent="1"/>
    </xf>
    <xf numFmtId="0" fontId="1" fillId="2" borderId="0" applyNumberFormat="0" applyProtection="0">
      <alignment vertical="center"/>
    </xf>
  </cellStyleXfs>
  <cellXfs count="60">
    <xf numFmtId="0" fontId="0" fillId="7" borderId="0" xfId="0">
      <alignment vertical="center"/>
    </xf>
    <xf numFmtId="0" fontId="0" fillId="7" borderId="0" xfId="0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0" fontId="0" fillId="3" borderId="0" xfId="0" applyFill="1">
      <alignment vertical="center"/>
    </xf>
    <xf numFmtId="0" fontId="6" fillId="0" borderId="0" xfId="2" applyFont="1" applyFill="1" applyBorder="1" applyAlignment="1">
      <alignment horizontal="left" vertical="center" indent="1"/>
    </xf>
    <xf numFmtId="0" fontId="6" fillId="0" borderId="0" xfId="2" applyFont="1" applyFill="1" applyBorder="1" applyAlignment="1">
      <alignment horizontal="right" vertical="center"/>
    </xf>
    <xf numFmtId="164" fontId="4" fillId="5" borderId="0" xfId="0" applyNumberFormat="1" applyFont="1" applyFill="1" applyAlignment="1">
      <alignment horizontal="right" vertical="center"/>
    </xf>
    <xf numFmtId="164" fontId="5" fillId="5" borderId="0" xfId="0" applyNumberFormat="1" applyFont="1" applyFill="1" applyAlignment="1">
      <alignment horizontal="right" vertical="center"/>
    </xf>
    <xf numFmtId="0" fontId="7" fillId="6" borderId="0" xfId="0" applyFont="1" applyFill="1">
      <alignment vertical="center"/>
    </xf>
    <xf numFmtId="164" fontId="0" fillId="5" borderId="2" xfId="0" applyNumberFormat="1" applyFill="1" applyBorder="1" applyAlignment="1">
      <alignment horizontal="right" vertical="center"/>
    </xf>
    <xf numFmtId="0" fontId="0" fillId="5" borderId="2" xfId="0" applyFill="1" applyBorder="1" applyAlignment="1">
      <alignment horizontal="right" vertical="center"/>
    </xf>
    <xf numFmtId="0" fontId="9" fillId="7" borderId="0" xfId="0" applyFont="1" applyAlignment="1">
      <alignment wrapText="1"/>
    </xf>
    <xf numFmtId="0" fontId="10" fillId="7" borderId="0" xfId="0" applyFont="1" applyAlignment="1">
      <alignment vertical="center" wrapText="1"/>
    </xf>
    <xf numFmtId="0" fontId="9" fillId="7" borderId="0" xfId="0" applyFont="1" applyAlignment="1">
      <alignment vertical="center" wrapText="1"/>
    </xf>
    <xf numFmtId="0" fontId="13" fillId="0" borderId="0" xfId="3" applyFont="1" applyFill="1">
      <alignment horizontal="left" vertical="center" indent="1"/>
    </xf>
    <xf numFmtId="0" fontId="14" fillId="0" borderId="0" xfId="0" applyFont="1" applyFill="1" applyAlignment="1">
      <alignment horizontal="left" vertical="center" indent="1"/>
    </xf>
    <xf numFmtId="0" fontId="13" fillId="6" borderId="0" xfId="0" applyFont="1" applyFill="1" applyAlignment="1">
      <alignment horizontal="left" vertical="center" indent="1"/>
    </xf>
    <xf numFmtId="0" fontId="14" fillId="6" borderId="0" xfId="0" applyFont="1" applyFill="1" applyAlignment="1">
      <alignment horizontal="left" vertical="center" indent="1"/>
    </xf>
    <xf numFmtId="0" fontId="13" fillId="0" borderId="0" xfId="0" applyFont="1" applyFill="1" applyAlignment="1">
      <alignment horizontal="left" vertical="center" indent="1"/>
    </xf>
    <xf numFmtId="0" fontId="15" fillId="0" borderId="0" xfId="0" applyFont="1" applyFill="1" applyAlignment="1">
      <alignment horizontal="left" vertical="center" indent="1"/>
    </xf>
    <xf numFmtId="0" fontId="16" fillId="0" borderId="0" xfId="0" applyFont="1" applyFill="1" applyAlignment="1">
      <alignment horizontal="left" vertical="center" indent="1"/>
    </xf>
    <xf numFmtId="0" fontId="17" fillId="0" borderId="0" xfId="0" applyFont="1" applyFill="1" applyAlignment="1">
      <alignment horizontal="left" vertical="center" indent="1"/>
    </xf>
    <xf numFmtId="0" fontId="18" fillId="0" borderId="0" xfId="0" applyFont="1" applyFill="1" applyAlignment="1">
      <alignment horizontal="left" vertical="center" indent="1"/>
    </xf>
    <xf numFmtId="0" fontId="19" fillId="0" borderId="0" xfId="0" applyFont="1" applyFill="1" applyAlignment="1">
      <alignment horizontal="left" vertical="center" indent="1"/>
    </xf>
    <xf numFmtId="0" fontId="20" fillId="10" borderId="3" xfId="0" applyFont="1" applyFill="1" applyBorder="1">
      <alignment vertical="center"/>
    </xf>
    <xf numFmtId="164" fontId="20" fillId="10" borderId="0" xfId="0" applyNumberFormat="1" applyFont="1" applyFill="1" applyAlignment="1">
      <alignment horizontal="right" vertical="center"/>
    </xf>
    <xf numFmtId="164" fontId="20" fillId="10" borderId="2" xfId="0" applyNumberFormat="1" applyFont="1" applyFill="1" applyBorder="1" applyAlignment="1">
      <alignment horizontal="right" vertical="center"/>
    </xf>
    <xf numFmtId="0" fontId="20" fillId="1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164" fontId="20" fillId="0" borderId="0" xfId="0" applyNumberFormat="1" applyFont="1" applyFill="1" applyAlignment="1">
      <alignment horizontal="right" vertical="center"/>
    </xf>
    <xf numFmtId="164" fontId="20" fillId="5" borderId="2" xfId="0" applyNumberFormat="1" applyFont="1" applyFill="1" applyBorder="1" applyAlignment="1">
      <alignment horizontal="right" vertical="center"/>
    </xf>
    <xf numFmtId="0" fontId="20" fillId="8" borderId="0" xfId="0" applyFont="1" applyFill="1">
      <alignment vertical="center"/>
    </xf>
    <xf numFmtId="0" fontId="20" fillId="6" borderId="0" xfId="0" applyFont="1" applyFill="1">
      <alignment vertical="center"/>
    </xf>
    <xf numFmtId="164" fontId="20" fillId="8" borderId="0" xfId="0" applyNumberFormat="1" applyFont="1" applyFill="1" applyAlignment="1">
      <alignment horizontal="right" vertical="center"/>
    </xf>
    <xf numFmtId="164" fontId="20" fillId="6" borderId="0" xfId="0" applyNumberFormat="1" applyFont="1" applyFill="1" applyAlignment="1">
      <alignment horizontal="right" vertical="center"/>
    </xf>
    <xf numFmtId="164" fontId="20" fillId="5" borderId="0" xfId="0" applyNumberFormat="1" applyFont="1" applyFill="1" applyAlignment="1">
      <alignment horizontal="right" vertical="center"/>
    </xf>
    <xf numFmtId="0" fontId="20" fillId="5" borderId="2" xfId="0" applyFont="1" applyFill="1" applyBorder="1" applyAlignment="1">
      <alignment horizontal="right" vertical="center"/>
    </xf>
    <xf numFmtId="0" fontId="20" fillId="8" borderId="3" xfId="0" applyFont="1" applyFill="1" applyBorder="1" applyAlignment="1">
      <alignment horizontal="right" vertical="center"/>
    </xf>
    <xf numFmtId="0" fontId="20" fillId="9" borderId="4" xfId="0" applyFont="1" applyFill="1" applyBorder="1" applyAlignment="1">
      <alignment horizontal="right" vertical="center"/>
    </xf>
    <xf numFmtId="164" fontId="20" fillId="9" borderId="0" xfId="0" applyNumberFormat="1" applyFont="1" applyFill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0" fontId="6" fillId="8" borderId="0" xfId="2" applyFont="1" applyFill="1" applyBorder="1" applyAlignment="1">
      <alignment horizontal="right" vertical="center"/>
    </xf>
    <xf numFmtId="0" fontId="7" fillId="8" borderId="0" xfId="0" applyFont="1" applyFill="1">
      <alignment vertical="center"/>
    </xf>
    <xf numFmtId="164" fontId="4" fillId="8" borderId="0" xfId="0" applyNumberFormat="1" applyFont="1" applyFill="1" applyAlignment="1">
      <alignment horizontal="right" vertical="center"/>
    </xf>
    <xf numFmtId="164" fontId="5" fillId="8" borderId="0" xfId="0" applyNumberFormat="1" applyFont="1" applyFill="1" applyAlignment="1">
      <alignment horizontal="right" vertical="center"/>
    </xf>
    <xf numFmtId="0" fontId="14" fillId="5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right" vertical="center"/>
    </xf>
    <xf numFmtId="0" fontId="5" fillId="5" borderId="0" xfId="0" applyFont="1" applyFill="1" applyAlignment="1">
      <alignment horizontal="right" vertical="center"/>
    </xf>
    <xf numFmtId="0" fontId="20" fillId="5" borderId="0" xfId="0" applyFont="1" applyFill="1" applyAlignment="1">
      <alignment horizontal="right" vertical="center"/>
    </xf>
    <xf numFmtId="0" fontId="16" fillId="5" borderId="0" xfId="0" applyFont="1" applyFill="1" applyAlignment="1">
      <alignment horizontal="left" vertical="center" indent="1"/>
    </xf>
    <xf numFmtId="0" fontId="20" fillId="10" borderId="0" xfId="0" applyFont="1" applyFill="1">
      <alignment vertical="center"/>
    </xf>
    <xf numFmtId="0" fontId="18" fillId="5" borderId="0" xfId="0" applyFont="1" applyFill="1" applyAlignment="1">
      <alignment horizontal="left" vertical="center" indent="1"/>
    </xf>
    <xf numFmtId="0" fontId="11" fillId="0" borderId="0" xfId="3" applyFont="1" applyFill="1">
      <alignment horizontal="left" vertical="center" indent="1"/>
    </xf>
    <xf numFmtId="0" fontId="20" fillId="0" borderId="0" xfId="0" applyFont="1" applyFill="1">
      <alignment vertical="center"/>
    </xf>
    <xf numFmtId="0" fontId="11" fillId="0" borderId="0" xfId="3" applyFont="1" applyFill="1" applyAlignment="1">
      <alignment horizontal="right" vertical="center"/>
    </xf>
    <xf numFmtId="0" fontId="20" fillId="0" borderId="0" xfId="0" applyFont="1" applyFill="1" applyAlignment="1">
      <alignment horizontal="left" vertical="center" indent="1"/>
    </xf>
    <xf numFmtId="0" fontId="12" fillId="7" borderId="0" xfId="0" applyFont="1" applyAlignment="1">
      <alignment horizontal="center"/>
    </xf>
    <xf numFmtId="0" fontId="8" fillId="7" borderId="0" xfId="0" applyFont="1" applyAlignment="1">
      <alignment horizontal="center"/>
    </xf>
    <xf numFmtId="0" fontId="0" fillId="7" borderId="0" xfId="0">
      <alignment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hidden="1" customBuiltin="1"/>
    <cellStyle name="Normal" xfId="0" builtinId="0" customBuiltin="1"/>
  </cellStyles>
  <dxfs count="432">
    <dxf>
      <font>
        <strike val="0"/>
        <outline val="0"/>
        <shadow val="0"/>
        <u val="none"/>
        <vertAlign val="baseline"/>
        <sz val="10"/>
        <color theme="1"/>
      </font>
      <numFmt numFmtId="164" formatCode="&quot;$&quot;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numFmt numFmtId="164" formatCode="&quot;$&quot;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numFmt numFmtId="164" formatCode="&quot;$&quot;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numFmt numFmtId="164" formatCode="&quot;$&quot;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numFmt numFmtId="164" formatCode="&quot;$&quot;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numFmt numFmtId="164" formatCode="&quot;$&quot;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numFmt numFmtId="164" formatCode="&quot;$&quot;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numFmt numFmtId="164" formatCode="&quot;$&quot;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numFmt numFmtId="164" formatCode="&quot;$&quot;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numFmt numFmtId="164" formatCode="&quot;$&quot;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numFmt numFmtId="164" formatCode="&quot;$&quot;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numFmt numFmtId="164" formatCode="&quot;$&quot;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numFmt numFmtId="164" formatCode="&quot;$&quot;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numFmt numFmtId="164" formatCode="&quot;$&quot;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family val="2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Gill Sans MT"/>
        <family val="2"/>
        <scheme val="major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rgb="FFF49A25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F49A25"/>
        <name val="verdana"/>
        <family val="2"/>
        <scheme val="minor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rgb="FFF49A25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F49A25"/>
        <name val="verdana"/>
        <family val="2"/>
        <scheme val="minor"/>
      </font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rgb="FFF49A25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F49A25"/>
        <name val="verdana"/>
        <family val="2"/>
        <scheme val="minor"/>
      </font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rgb="FFF49A25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F49A25"/>
        <name val="verdana"/>
        <family val="2"/>
        <scheme val="minor"/>
      </font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rgb="FFF49A25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F49A25"/>
        <name val="verdana"/>
        <family val="2"/>
        <scheme val="minor"/>
      </font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FDEEDB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FDEEDB"/>
        </patternFill>
      </fill>
    </dxf>
    <dxf>
      <font>
        <strike val="0"/>
        <outline val="0"/>
        <shadow val="0"/>
        <u val="none"/>
        <vertAlign val="baseline"/>
        <sz val="10"/>
        <color rgb="FFF49A25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F49A25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EFAEC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CEFAEC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EFAEC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CEFAEC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EFAEC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CEFAEC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EFAEC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CEFAEC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EFAEC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CEFAEC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EFAEC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CEFAEC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EFAEC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CEFAEC"/>
        </patternFill>
      </fill>
    </dxf>
    <dxf>
      <font>
        <strike val="0"/>
        <outline val="0"/>
        <shadow val="0"/>
        <u val="none"/>
        <vertAlign val="baseline"/>
        <sz val="10"/>
        <color rgb="FF18D499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18D499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EFAEC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CEFAEC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EFAEC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CEFAEC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EFAEC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CEFAEC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EFAEC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CEFAEC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EFAEC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CEFAEC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EFAEC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CEFAEC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EFAEC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CEFAEC"/>
        </patternFill>
      </fill>
    </dxf>
    <dxf>
      <font>
        <strike val="0"/>
        <outline val="0"/>
        <shadow val="0"/>
        <u val="none"/>
        <vertAlign val="baseline"/>
        <sz val="10"/>
        <color rgb="FF18D499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18D499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0D5FF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C0D5FF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0D5FF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C0D5FF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0D5FF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C0D5FF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0D5FF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C0D5FF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0D5FF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C0D5FF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0D5FF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C0D5FF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0D5FF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C0D5FF"/>
        </patternFill>
      </fill>
    </dxf>
    <dxf>
      <font>
        <strike val="0"/>
        <outline val="0"/>
        <shadow val="0"/>
        <u val="none"/>
        <vertAlign val="baseline"/>
        <sz val="10"/>
        <color rgb="FF0038BF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0038BF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0D5FF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C0D5FF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0D5FF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C0D5FF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0D5FF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C0D5FF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0D5FF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C0D5FF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0D5FF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C0D5FF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0D5FF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C0D5FF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0D5FF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fill>
        <patternFill patternType="solid">
          <fgColor indexed="64"/>
          <bgColor rgb="FFC0D5FF"/>
        </patternFill>
      </fill>
    </dxf>
    <dxf>
      <font>
        <strike val="0"/>
        <outline val="0"/>
        <shadow val="0"/>
        <u val="none"/>
        <vertAlign val="baseline"/>
        <sz val="10"/>
        <color rgb="FF0038BF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0038BF"/>
      </font>
    </dxf>
    <dxf>
      <fill>
        <patternFill patternType="none">
          <bgColor auto="1"/>
        </patternFill>
      </fill>
    </dxf>
    <dxf>
      <fill>
        <patternFill patternType="none">
          <fgColor indexed="64"/>
          <bgColor theme="0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0D5FF"/>
        </patternFill>
      </fill>
      <alignment horizontal="right" vertical="center" textRotation="0" wrapText="0" indent="0" justifyLastLine="0" shrinkToFit="0" readingOrder="0"/>
    </dxf>
    <dxf>
      <fill>
        <patternFill>
          <fgColor indexed="64"/>
          <bgColor rgb="FFC0D5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0D5FF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fill>
        <patternFill>
          <fgColor indexed="64"/>
          <bgColor rgb="FFC0D5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0D5FF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fill>
        <patternFill>
          <fgColor indexed="64"/>
          <bgColor rgb="FFC0D5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0D5FF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fill>
        <patternFill>
          <fgColor indexed="64"/>
          <bgColor rgb="FFC0D5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0D5FF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fill>
        <patternFill>
          <fgColor indexed="64"/>
          <bgColor rgb="FFC0D5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0D5FF"/>
        </patternFill>
      </fill>
      <alignment horizontal="right" vertical="center" textRotation="0" wrapText="0" indent="0" justifyLastLine="0" shrinkToFit="0" readingOrder="0"/>
    </dxf>
    <dxf>
      <fill>
        <patternFill>
          <fgColor indexed="64"/>
          <bgColor rgb="FFC0D5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0D5FF"/>
        </patternFill>
      </fill>
      <alignment horizontal="right" vertical="center" textRotation="0" wrapText="0" indent="0" justifyLastLine="0" shrinkToFit="0" readingOrder="0"/>
    </dxf>
    <dxf>
      <fill>
        <patternFill>
          <fgColor indexed="64"/>
          <bgColor rgb="FFC0D5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38BF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0038BF"/>
      </font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0D5FF"/>
        </patternFill>
      </fill>
      <alignment horizontal="right" vertical="center" textRotation="0" wrapText="0" indent="0" justifyLastLine="0" shrinkToFit="0" readingOrder="0"/>
    </dxf>
    <dxf>
      <fill>
        <patternFill>
          <fgColor indexed="64"/>
          <bgColor rgb="FFC0D5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0D5FF"/>
        </patternFill>
      </fill>
      <alignment horizontal="right" vertical="center" textRotation="0" wrapText="0" indent="0" justifyLastLine="0" shrinkToFit="0" readingOrder="0"/>
    </dxf>
    <dxf>
      <fill>
        <patternFill>
          <fgColor indexed="64"/>
          <bgColor rgb="FFC0D5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0D5FF"/>
        </patternFill>
      </fill>
      <alignment horizontal="right" vertical="center" textRotation="0" wrapText="0" indent="0" justifyLastLine="0" shrinkToFit="0" readingOrder="0"/>
    </dxf>
    <dxf>
      <fill>
        <patternFill>
          <fgColor indexed="64"/>
          <bgColor rgb="FFC0D5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0D5FF"/>
        </patternFill>
      </fill>
      <alignment horizontal="right" vertical="center" textRotation="0" wrapText="0" indent="0" justifyLastLine="0" shrinkToFit="0" readingOrder="0"/>
    </dxf>
    <dxf>
      <fill>
        <patternFill>
          <fgColor indexed="64"/>
          <bgColor rgb="FFC0D5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0D5FF"/>
        </patternFill>
      </fill>
      <alignment horizontal="right" vertical="center" textRotation="0" wrapText="0" indent="0" justifyLastLine="0" shrinkToFit="0" readingOrder="0"/>
    </dxf>
    <dxf>
      <fill>
        <patternFill>
          <fgColor indexed="64"/>
          <bgColor rgb="FFC0D5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0D5FF"/>
        </patternFill>
      </fill>
      <alignment horizontal="right" vertical="center" textRotation="0" wrapText="0" indent="0" justifyLastLine="0" shrinkToFit="0" readingOrder="0"/>
    </dxf>
    <dxf>
      <fill>
        <patternFill>
          <fgColor indexed="64"/>
          <bgColor rgb="FFC0D5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rgb="FFC0D5FF"/>
        </patternFill>
      </fill>
      <alignment horizontal="right" vertical="center" textRotation="0" wrapText="0" indent="0" justifyLastLine="0" shrinkToFit="0" readingOrder="0"/>
    </dxf>
    <dxf>
      <fill>
        <patternFill>
          <fgColor indexed="64"/>
          <bgColor rgb="FFC0D5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38BF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0038BF"/>
      </font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border>
        <top style="thin">
          <color theme="6" tint="-0.24994659260841701"/>
        </top>
      </border>
    </dxf>
    <dxf>
      <font>
        <b val="0"/>
        <i val="0"/>
        <color theme="6" tint="-0.499984740745262"/>
      </font>
      <border>
        <bottom style="thin">
          <color theme="6" tint="-0.24994659260841701"/>
        </bottom>
      </border>
    </dxf>
    <dxf>
      <font>
        <b val="0"/>
        <i val="0"/>
        <color theme="6" tint="-0.499984740745262"/>
      </font>
      <border>
        <top style="thin">
          <color theme="6" tint="-0.24994659260841701"/>
        </top>
        <bottom style="thin">
          <color theme="6" tint="-0.24994659260841701"/>
        </bottom>
      </border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</dxf>
    <dxf>
      <font>
        <b val="0"/>
        <i val="0"/>
        <color theme="5" tint="-0.499984740745262"/>
      </font>
      <border>
        <top style="thin">
          <color theme="5" tint="-0.24994659260841701"/>
        </top>
      </border>
    </dxf>
    <dxf>
      <font>
        <b val="0"/>
        <i val="0"/>
        <color theme="5" tint="-0.499984740745262"/>
      </font>
      <border>
        <bottom style="thin">
          <color theme="5" tint="-0.24994659260841701"/>
        </bottom>
      </border>
    </dxf>
    <dxf>
      <font>
        <b val="0"/>
        <i val="0"/>
        <color theme="5" tint="-0.499984740745262"/>
      </font>
      <border>
        <top style="thin">
          <color theme="5" tint="-0.24994659260841701"/>
        </top>
        <bottom style="thin">
          <color theme="5" tint="-0.24994659260841701"/>
        </bottom>
      </border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 patternType="solid">
          <fgColor theme="4" tint="0.79995117038483843"/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</dxf>
    <dxf>
      <font>
        <b val="0"/>
        <i val="0"/>
        <color theme="4" tint="-0.499984740745262"/>
      </font>
      <fill>
        <patternFill patternType="none">
          <bgColor auto="1"/>
        </patternFill>
      </fill>
      <border>
        <top style="thin">
          <color theme="4" tint="-0.24994659260841701"/>
        </top>
      </border>
    </dxf>
    <dxf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font>
        <b val="0"/>
        <i val="0"/>
        <color theme="4" tint="-0.499984740745262"/>
      </font>
      <border>
        <top style="thin">
          <color theme="4" tint="-0.24994659260841701"/>
        </top>
        <bottom style="thin">
          <color theme="4" tint="-0.24994659260841701"/>
        </bottom>
      </border>
    </dxf>
  </dxfs>
  <tableStyles count="3" defaultTableStyle="Personal Budget - Expense" defaultPivotStyle="PivotStyleLight16">
    <tableStyle name="Persona Budget - Revenue" pivot="0" count="9" xr9:uid="{00000000-0011-0000-FFFF-FFFF00000000}">
      <tableStyleElement type="wholeTable" dxfId="431"/>
      <tableStyleElement type="headerRow" dxfId="430"/>
      <tableStyleElement type="totalRow" dxfId="429"/>
      <tableStyleElement type="firstColumn" dxfId="428"/>
      <tableStyleElement type="lastColumn" dxfId="427"/>
      <tableStyleElement type="firstRowStripe" dxfId="426"/>
      <tableStyleElement type="firstColumnStripe" dxfId="425"/>
      <tableStyleElement type="firstTotalCell" dxfId="424"/>
      <tableStyleElement type="lastTotalCell" dxfId="423"/>
    </tableStyle>
    <tableStyle name="Personal Budget - Expense" pivot="0" count="9" xr9:uid="{00000000-0011-0000-FFFF-FFFF01000000}">
      <tableStyleElement type="wholeTable" dxfId="422"/>
      <tableStyleElement type="headerRow" dxfId="421"/>
      <tableStyleElement type="totalRow" dxfId="420"/>
      <tableStyleElement type="firstColumn" dxfId="419"/>
      <tableStyleElement type="lastColumn" dxfId="418"/>
      <tableStyleElement type="firstRowStripe" dxfId="417"/>
      <tableStyleElement type="firstColumnStripe" dxfId="416"/>
      <tableStyleElement type="firstTotalCell" dxfId="415"/>
      <tableStyleElement type="lastTotalCell" dxfId="414"/>
    </tableStyle>
    <tableStyle name="Personal Budget - Total" pivot="0" count="9" xr9:uid="{00000000-0011-0000-FFFF-FFFF02000000}">
      <tableStyleElement type="wholeTable" dxfId="413"/>
      <tableStyleElement type="headerRow" dxfId="412"/>
      <tableStyleElement type="totalRow" dxfId="411"/>
      <tableStyleElement type="firstColumn" dxfId="410"/>
      <tableStyleElement type="lastColumn" dxfId="409"/>
      <tableStyleElement type="firstRowStripe" dxfId="408"/>
      <tableStyleElement type="firstColumnStripe" dxfId="407"/>
      <tableStyleElement type="firstTotalCell" dxfId="406"/>
      <tableStyleElement type="lastTotalCell" dxfId="405"/>
    </tableStyle>
  </tableStyles>
  <colors>
    <mruColors>
      <color rgb="FFC0D5FF"/>
      <color rgb="FFF49A25"/>
      <color rgb="FFFDEEDB"/>
      <color rgb="FFCEFAEC"/>
      <color rgb="FFBEF8E6"/>
      <color rgb="FF18D499"/>
      <color rgb="FF0038BF"/>
      <color rgb="FFF7F7F7"/>
      <color rgb="FFF3F8FF"/>
      <color rgb="FFE6F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come" displayName="Income" ref="B4:P8" totalsRowCount="1" headerRowDxfId="403" dataDxfId="402" totalsRowDxfId="401">
  <autoFilter ref="B4:P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INCOME" totalsRowLabel="Total" dataDxfId="400" totalsRowDxfId="399"/>
    <tableColumn id="2" xr3:uid="{00000000-0010-0000-0000-000002000000}" name="January" totalsRowFunction="sum" dataDxfId="398" totalsRowDxfId="397"/>
    <tableColumn id="3" xr3:uid="{00000000-0010-0000-0000-000003000000}" name="February" totalsRowFunction="sum" totalsRowDxfId="396"/>
    <tableColumn id="4" xr3:uid="{00000000-0010-0000-0000-000004000000}" name="March" totalsRowFunction="sum" dataDxfId="395" totalsRowDxfId="394"/>
    <tableColumn id="5" xr3:uid="{00000000-0010-0000-0000-000005000000}" name="April" totalsRowFunction="sum" totalsRowDxfId="393"/>
    <tableColumn id="6" xr3:uid="{00000000-0010-0000-0000-000006000000}" name="May" totalsRowFunction="sum" dataDxfId="392" totalsRowDxfId="391"/>
    <tableColumn id="7" xr3:uid="{00000000-0010-0000-0000-000007000000}" name="June" totalsRowFunction="sum" totalsRowDxfId="390"/>
    <tableColumn id="8" xr3:uid="{00000000-0010-0000-0000-000008000000}" name="July" totalsRowFunction="sum" dataDxfId="389" totalsRowDxfId="388"/>
    <tableColumn id="9" xr3:uid="{00000000-0010-0000-0000-000009000000}" name="August" totalsRowFunction="sum" totalsRowDxfId="387"/>
    <tableColumn id="10" xr3:uid="{00000000-0010-0000-0000-00000A000000}" name="September" totalsRowFunction="sum" dataDxfId="386" totalsRowDxfId="385"/>
    <tableColumn id="11" xr3:uid="{00000000-0010-0000-0000-00000B000000}" name="October" totalsRowFunction="sum" totalsRowDxfId="384"/>
    <tableColumn id="12" xr3:uid="{00000000-0010-0000-0000-00000C000000}" name="November" totalsRowFunction="sum" dataDxfId="383" totalsRowDxfId="382"/>
    <tableColumn id="13" xr3:uid="{00000000-0010-0000-0000-00000D000000}" name="December" totalsRowFunction="sum" totalsRowDxfId="381"/>
    <tableColumn id="14" xr3:uid="{00000000-0010-0000-0000-00000E000000}" name="Year" totalsRowFunction="sum" dataDxfId="380" totalsRowDxfId="379">
      <calculatedColumnFormula>SUM(Income[[#This Row],[January]:[December]])</calculatedColumnFormula>
    </tableColumn>
    <tableColumn id="15" xr3:uid="{00000000-0010-0000-0000-00000F000000}" name="Sparkline" totalsRowDxfId="378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Income items and monthly amounts in this table. Annual amount and monthly Totals are auto calculated and sparklines are upd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rsonal" displayName="Personal" ref="B80:P86" totalsRowCount="1" headerRowDxfId="115" dataDxfId="114" totalsRowDxfId="113">
  <autoFilter ref="B80:P85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900-000001000000}" name="PERSONAL" totalsRowLabel="Total" dataDxfId="112" totalsRowDxfId="111"/>
    <tableColumn id="2" xr3:uid="{00000000-0010-0000-0900-000002000000}" name="January" totalsRowFunction="sum" dataDxfId="110" totalsRowDxfId="109"/>
    <tableColumn id="3" xr3:uid="{00000000-0010-0000-0900-000003000000}" name="February" totalsRowFunction="sum" dataDxfId="108" totalsRowDxfId="107"/>
    <tableColumn id="4" xr3:uid="{00000000-0010-0000-0900-000004000000}" name="March" totalsRowFunction="sum" dataDxfId="106" totalsRowDxfId="105"/>
    <tableColumn id="5" xr3:uid="{00000000-0010-0000-0900-000005000000}" name="April" totalsRowFunction="sum" dataDxfId="104" totalsRowDxfId="103"/>
    <tableColumn id="6" xr3:uid="{00000000-0010-0000-0900-000006000000}" name="May" totalsRowFunction="sum" dataDxfId="102" totalsRowDxfId="101"/>
    <tableColumn id="7" xr3:uid="{00000000-0010-0000-0900-000007000000}" name="June" totalsRowFunction="sum" dataDxfId="100" totalsRowDxfId="99"/>
    <tableColumn id="8" xr3:uid="{00000000-0010-0000-0900-000008000000}" name="July" totalsRowFunction="sum" dataDxfId="98" totalsRowDxfId="97"/>
    <tableColumn id="9" xr3:uid="{00000000-0010-0000-0900-000009000000}" name="August" totalsRowFunction="sum" dataDxfId="96" totalsRowDxfId="95"/>
    <tableColumn id="10" xr3:uid="{00000000-0010-0000-0900-00000A000000}" name="September" totalsRowFunction="sum" dataDxfId="94" totalsRowDxfId="93"/>
    <tableColumn id="11" xr3:uid="{00000000-0010-0000-0900-00000B000000}" name="October" totalsRowFunction="sum" dataDxfId="92" totalsRowDxfId="91"/>
    <tableColumn id="12" xr3:uid="{00000000-0010-0000-0900-00000C000000}" name="November" totalsRowFunction="sum" dataDxfId="90" totalsRowDxfId="89"/>
    <tableColumn id="13" xr3:uid="{00000000-0010-0000-0900-00000D000000}" name="December" totalsRowFunction="sum" dataDxfId="88" totalsRowDxfId="87"/>
    <tableColumn id="14" xr3:uid="{00000000-0010-0000-0900-00000E000000}" name="Year" totalsRowFunction="sum" dataDxfId="86" totalsRowDxfId="85">
      <calculatedColumnFormula>SUM(Personal[[#This Row],[January]:[December]])</calculatedColumnFormula>
    </tableColumn>
    <tableColumn id="15" xr3:uid="{00000000-0010-0000-0900-00000F000000}" name="Sparkline" dataDxfId="84" totalsRowDxfId="83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Personal expenses items and monthly amounts in this table. Annual amount and monthly Totals are auto calculated and sparklines are upd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Financial" displayName="Financial" ref="B88:P94" totalsRowCount="1" headerRowDxfId="82" dataDxfId="81" totalsRowDxfId="80">
  <autoFilter ref="B88:P93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A00-000001000000}" name="FINANCIAL OBLIGATIONS" totalsRowLabel="Total" dataDxfId="79" totalsRowDxfId="78"/>
    <tableColumn id="2" xr3:uid="{00000000-0010-0000-0A00-000002000000}" name="January" totalsRowFunction="sum" dataDxfId="77" totalsRowDxfId="76"/>
    <tableColumn id="3" xr3:uid="{00000000-0010-0000-0A00-000003000000}" name="February" totalsRowFunction="sum" dataDxfId="75" totalsRowDxfId="74"/>
    <tableColumn id="4" xr3:uid="{00000000-0010-0000-0A00-000004000000}" name="March" totalsRowFunction="sum" dataDxfId="73" totalsRowDxfId="72"/>
    <tableColumn id="5" xr3:uid="{00000000-0010-0000-0A00-000005000000}" name="April" totalsRowFunction="sum" dataDxfId="71" totalsRowDxfId="70"/>
    <tableColumn id="6" xr3:uid="{00000000-0010-0000-0A00-000006000000}" name="May" totalsRowFunction="sum" dataDxfId="69" totalsRowDxfId="68"/>
    <tableColumn id="7" xr3:uid="{00000000-0010-0000-0A00-000007000000}" name="June" totalsRowFunction="sum" dataDxfId="67" totalsRowDxfId="66"/>
    <tableColumn id="8" xr3:uid="{00000000-0010-0000-0A00-000008000000}" name="July" totalsRowFunction="sum" dataDxfId="65" totalsRowDxfId="64"/>
    <tableColumn id="9" xr3:uid="{00000000-0010-0000-0A00-000009000000}" name="August" totalsRowFunction="sum" dataDxfId="63" totalsRowDxfId="62"/>
    <tableColumn id="10" xr3:uid="{00000000-0010-0000-0A00-00000A000000}" name="September" totalsRowFunction="sum" dataDxfId="61" totalsRowDxfId="60"/>
    <tableColumn id="11" xr3:uid="{00000000-0010-0000-0A00-00000B000000}" name="October" totalsRowFunction="sum" dataDxfId="59" totalsRowDxfId="58"/>
    <tableColumn id="12" xr3:uid="{00000000-0010-0000-0A00-00000C000000}" name="November" totalsRowFunction="sum" dataDxfId="57" totalsRowDxfId="56"/>
    <tableColumn id="13" xr3:uid="{00000000-0010-0000-0A00-00000D000000}" name="December" totalsRowFunction="sum" dataDxfId="55" totalsRowDxfId="54"/>
    <tableColumn id="14" xr3:uid="{00000000-0010-0000-0A00-00000E000000}" name="Year" totalsRowFunction="sum" dataDxfId="53" totalsRowDxfId="52">
      <calculatedColumnFormula>SUM(Financial[[#This Row],[January]:[December]])</calculatedColumnFormula>
    </tableColumn>
    <tableColumn id="15" xr3:uid="{00000000-0010-0000-0A00-00000F000000}" name="Sparkline" dataDxfId="51" totalsRowDxfId="50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Financial Obligations items and monthly amounts in this table. Annual amount and monthly Totals are auto calculated and sparklines are upd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Misc" displayName="Misc" ref="B96:P102" totalsRowCount="1" headerRowDxfId="49" dataDxfId="48" totalsRowDxfId="47">
  <autoFilter ref="B96:P101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B00-000001000000}" name="MISC PAYMENTS" totalsRowLabel="Total" dataDxfId="46" totalsRowDxfId="45"/>
    <tableColumn id="2" xr3:uid="{00000000-0010-0000-0B00-000002000000}" name="January" totalsRowFunction="sum" dataDxfId="44" totalsRowDxfId="43"/>
    <tableColumn id="3" xr3:uid="{00000000-0010-0000-0B00-000003000000}" name="February" totalsRowFunction="sum" dataDxfId="42" totalsRowDxfId="41"/>
    <tableColumn id="4" xr3:uid="{00000000-0010-0000-0B00-000004000000}" name="March" totalsRowFunction="sum" dataDxfId="40" totalsRowDxfId="39"/>
    <tableColumn id="5" xr3:uid="{00000000-0010-0000-0B00-000005000000}" name="April" totalsRowFunction="sum" dataDxfId="38" totalsRowDxfId="37"/>
    <tableColumn id="6" xr3:uid="{00000000-0010-0000-0B00-000006000000}" name="May" totalsRowFunction="sum" dataDxfId="36" totalsRowDxfId="35"/>
    <tableColumn id="7" xr3:uid="{00000000-0010-0000-0B00-000007000000}" name="June" totalsRowFunction="sum" dataDxfId="34" totalsRowDxfId="33"/>
    <tableColumn id="8" xr3:uid="{00000000-0010-0000-0B00-000008000000}" name="July" totalsRowFunction="sum" dataDxfId="32" totalsRowDxfId="31"/>
    <tableColumn id="9" xr3:uid="{00000000-0010-0000-0B00-000009000000}" name="August" totalsRowFunction="sum" dataDxfId="30" totalsRowDxfId="29"/>
    <tableColumn id="10" xr3:uid="{00000000-0010-0000-0B00-00000A000000}" name="September" totalsRowFunction="sum" dataDxfId="28" totalsRowDxfId="27"/>
    <tableColumn id="11" xr3:uid="{00000000-0010-0000-0B00-00000B000000}" name="October" totalsRowFunction="sum" dataDxfId="26" totalsRowDxfId="25"/>
    <tableColumn id="12" xr3:uid="{00000000-0010-0000-0B00-00000C000000}" name="November" totalsRowFunction="sum" dataDxfId="24" totalsRowDxfId="23"/>
    <tableColumn id="13" xr3:uid="{00000000-0010-0000-0B00-00000D000000}" name="December" totalsRowFunction="sum" dataDxfId="22" totalsRowDxfId="21"/>
    <tableColumn id="14" xr3:uid="{00000000-0010-0000-0B00-00000E000000}" name="Year" totalsRowFunction="sum" dataDxfId="20" totalsRowDxfId="19">
      <calculatedColumnFormula>SUM(Misc[[#This Row],[January]:[December]])</calculatedColumnFormula>
    </tableColumn>
    <tableColumn id="15" xr3:uid="{00000000-0010-0000-0B00-00000F000000}" name="Sparkline" dataDxfId="18" totalsRowDxfId="17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Miscellaneous items and payments in this table. Annual amount and monthly Totals are auto calculated and sparklines are updated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otals" displayName="Totals" ref="B104:P106" totalsRowShown="0" headerRowDxfId="16" dataDxfId="15" headerRowCellStyle="Heading 3">
  <tableColumns count="15">
    <tableColumn id="1" xr3:uid="{00000000-0010-0000-0C00-000001000000}" name="TOTALS" dataDxfId="14"/>
    <tableColumn id="2" xr3:uid="{00000000-0010-0000-0C00-000002000000}" name="JAN" dataDxfId="13">
      <calculatedColumnFormula>Income[[#Totals],[January]]-C104</calculatedColumnFormula>
    </tableColumn>
    <tableColumn id="3" xr3:uid="{00000000-0010-0000-0C00-000003000000}" name="FEB" dataDxfId="12">
      <calculatedColumnFormula>Income[[#Totals],[February]]-D104</calculatedColumnFormula>
    </tableColumn>
    <tableColumn id="4" xr3:uid="{00000000-0010-0000-0C00-000004000000}" name="MAR" dataDxfId="11">
      <calculatedColumnFormula>Income[[#Totals],[March]]-E104</calculatedColumnFormula>
    </tableColumn>
    <tableColumn id="5" xr3:uid="{00000000-0010-0000-0C00-000005000000}" name="APR" dataDxfId="10">
      <calculatedColumnFormula>Income[[#Totals],[April]]-F104</calculatedColumnFormula>
    </tableColumn>
    <tableColumn id="6" xr3:uid="{00000000-0010-0000-0C00-000006000000}" name="MAY" dataDxfId="9">
      <calculatedColumnFormula>Income[[#Totals],[May]]-G104</calculatedColumnFormula>
    </tableColumn>
    <tableColumn id="7" xr3:uid="{00000000-0010-0000-0C00-000007000000}" name="JUN" dataDxfId="8">
      <calculatedColumnFormula>Income[[#Totals],[June]]-H104</calculatedColumnFormula>
    </tableColumn>
    <tableColumn id="8" xr3:uid="{00000000-0010-0000-0C00-000008000000}" name="JUL" dataDxfId="7">
      <calculatedColumnFormula>Income[[#Totals],[July]]-I104</calculatedColumnFormula>
    </tableColumn>
    <tableColumn id="9" xr3:uid="{00000000-0010-0000-0C00-000009000000}" name="AUG" dataDxfId="6">
      <calculatedColumnFormula>Income[[#Totals],[August]]-J104</calculatedColumnFormula>
    </tableColumn>
    <tableColumn id="10" xr3:uid="{00000000-0010-0000-0C00-00000A000000}" name="SEP" dataDxfId="5">
      <calculatedColumnFormula>Income[[#Totals],[September]]-K104</calculatedColumnFormula>
    </tableColumn>
    <tableColumn id="11" xr3:uid="{00000000-0010-0000-0C00-00000B000000}" name="OCT" dataDxfId="4">
      <calculatedColumnFormula>Income[[#Totals],[October]]-L104</calculatedColumnFormula>
    </tableColumn>
    <tableColumn id="12" xr3:uid="{00000000-0010-0000-0C00-00000C000000}" name="NOV" dataDxfId="3">
      <calculatedColumnFormula>Income[[#Totals],[November]]-M104</calculatedColumnFormula>
    </tableColumn>
    <tableColumn id="13" xr3:uid="{00000000-0010-0000-0C00-00000D000000}" name="DEC" dataDxfId="2">
      <calculatedColumnFormula>Income[[#Totals],[December]]-N104</calculatedColumnFormula>
    </tableColumn>
    <tableColumn id="14" xr3:uid="{00000000-0010-0000-0C00-00000E000000}" name="YEAR" dataDxfId="1">
      <calculatedColumnFormula>Income[[#Totals],[Year]]-O104</calculatedColumnFormula>
    </tableColumn>
    <tableColumn id="15" xr3:uid="{00000000-0010-0000-0C00-00000F000000}" name="SPARKLINE" dataDxfId="0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Total expenses and Cash shortage or surplus are auto calculated for each month and entire year, and sparklines are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Home" displayName="Home" ref="B11:P17" totalsRowCount="1" headerRowDxfId="377" dataDxfId="376" totalsRowDxfId="375">
  <autoFilter ref="B11:P1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100-000001000000}" name="HOME" totalsRowLabel="Total" dataDxfId="374" totalsRowDxfId="373"/>
    <tableColumn id="2" xr3:uid="{00000000-0010-0000-0100-000002000000}" name="January" totalsRowFunction="sum" dataDxfId="372" totalsRowDxfId="371"/>
    <tableColumn id="3" xr3:uid="{00000000-0010-0000-0100-000003000000}" name="February" totalsRowFunction="sum" totalsRowDxfId="370"/>
    <tableColumn id="4" xr3:uid="{00000000-0010-0000-0100-000004000000}" name="March" totalsRowFunction="sum" dataDxfId="369" totalsRowDxfId="368"/>
    <tableColumn id="5" xr3:uid="{00000000-0010-0000-0100-000005000000}" name="April" totalsRowFunction="sum" dataDxfId="367" totalsRowDxfId="366"/>
    <tableColumn id="6" xr3:uid="{00000000-0010-0000-0100-000006000000}" name="May" totalsRowFunction="sum" dataDxfId="365" totalsRowDxfId="364"/>
    <tableColumn id="7" xr3:uid="{00000000-0010-0000-0100-000007000000}" name="June" totalsRowFunction="sum" dataDxfId="363" totalsRowDxfId="362"/>
    <tableColumn id="8" xr3:uid="{00000000-0010-0000-0100-000008000000}" name="July" totalsRowFunction="sum" dataDxfId="361" totalsRowDxfId="360"/>
    <tableColumn id="9" xr3:uid="{00000000-0010-0000-0100-000009000000}" name="August" totalsRowFunction="sum" dataDxfId="359" totalsRowDxfId="358"/>
    <tableColumn id="10" xr3:uid="{00000000-0010-0000-0100-00000A000000}" name="September" totalsRowFunction="sum" dataDxfId="357" totalsRowDxfId="356"/>
    <tableColumn id="11" xr3:uid="{00000000-0010-0000-0100-00000B000000}" name="October" totalsRowFunction="sum" dataDxfId="355" totalsRowDxfId="354"/>
    <tableColumn id="12" xr3:uid="{00000000-0010-0000-0100-00000C000000}" name="November" totalsRowFunction="sum" dataDxfId="353" totalsRowDxfId="352"/>
    <tableColumn id="13" xr3:uid="{00000000-0010-0000-0100-00000D000000}" name="December" totalsRowFunction="sum" dataDxfId="351" totalsRowDxfId="350"/>
    <tableColumn id="14" xr3:uid="{00000000-0010-0000-0100-00000E000000}" name="Year" totalsRowFunction="sum" dataDxfId="349" totalsRowDxfId="348">
      <calculatedColumnFormula>SUM(Home[[#This Row],[January]:[December]])</calculatedColumnFormula>
    </tableColumn>
    <tableColumn id="15" xr3:uid="{00000000-0010-0000-0100-00000F000000}" name="Sparkline" totalsRowDxfId="347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Home expense items and monthly amounts in this table. Annual amount and monthly Totals are auto calculated and sparklines are upd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aily" displayName="Daily" ref="B19:P26" totalsRowCount="1" headerRowDxfId="346" dataDxfId="345" totalsRowDxfId="344">
  <autoFilter ref="B19:P2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200-000001000000}" name="DAILY LIVING" totalsRowLabel="Total" dataDxfId="343" totalsRowDxfId="342"/>
    <tableColumn id="2" xr3:uid="{00000000-0010-0000-0200-000002000000}" name="January" totalsRowFunction="sum" dataDxfId="341" totalsRowDxfId="340"/>
    <tableColumn id="3" xr3:uid="{00000000-0010-0000-0200-000003000000}" name="February" totalsRowFunction="sum" dataDxfId="339" totalsRowDxfId="338"/>
    <tableColumn id="4" xr3:uid="{00000000-0010-0000-0200-000004000000}" name="March" totalsRowFunction="sum" dataDxfId="337" totalsRowDxfId="336"/>
    <tableColumn id="5" xr3:uid="{00000000-0010-0000-0200-000005000000}" name="April" totalsRowFunction="sum" dataDxfId="335" totalsRowDxfId="334"/>
    <tableColumn id="6" xr3:uid="{00000000-0010-0000-0200-000006000000}" name="May" totalsRowFunction="sum" dataDxfId="333" totalsRowDxfId="332"/>
    <tableColumn id="7" xr3:uid="{00000000-0010-0000-0200-000007000000}" name="June" totalsRowFunction="sum" dataDxfId="331" totalsRowDxfId="330"/>
    <tableColumn id="8" xr3:uid="{00000000-0010-0000-0200-000008000000}" name="July" totalsRowFunction="sum" dataDxfId="329" totalsRowDxfId="328"/>
    <tableColumn id="9" xr3:uid="{00000000-0010-0000-0200-000009000000}" name="August" totalsRowFunction="sum" dataDxfId="327" totalsRowDxfId="326"/>
    <tableColumn id="10" xr3:uid="{00000000-0010-0000-0200-00000A000000}" name="September" totalsRowFunction="sum" dataDxfId="325" totalsRowDxfId="324"/>
    <tableColumn id="11" xr3:uid="{00000000-0010-0000-0200-00000B000000}" name="October" totalsRowFunction="sum" dataDxfId="323" totalsRowDxfId="322"/>
    <tableColumn id="12" xr3:uid="{00000000-0010-0000-0200-00000C000000}" name="November" totalsRowFunction="sum" dataDxfId="321" totalsRowDxfId="320"/>
    <tableColumn id="13" xr3:uid="{00000000-0010-0000-0200-00000D000000}" name="December" totalsRowFunction="sum" dataDxfId="319" totalsRowDxfId="318"/>
    <tableColumn id="14" xr3:uid="{00000000-0010-0000-0200-00000E000000}" name="Year" totalsRowFunction="sum" dataDxfId="317" totalsRowDxfId="316">
      <calculatedColumnFormula>SUM(Daily[[#This Row],[January]:[December]])</calculatedColumnFormula>
    </tableColumn>
    <tableColumn id="15" xr3:uid="{00000000-0010-0000-0200-00000F000000}" name="Sparkline" dataDxfId="315" totalsRowDxfId="314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Daily expense items and monthly amounts in this table. Annual amount and monthly Totals are auto calculated and sparklines are upd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8:P35" totalsRowCount="1" headerRowDxfId="313" dataDxfId="312" totalsRowDxfId="311">
  <autoFilter ref="B28:P34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300-000001000000}" name="TRANSPORTATION" totalsRowLabel="Total" dataDxfId="310" totalsRowDxfId="309"/>
    <tableColumn id="2" xr3:uid="{00000000-0010-0000-0300-000002000000}" name="January" totalsRowFunction="sum" dataDxfId="308" totalsRowDxfId="307"/>
    <tableColumn id="3" xr3:uid="{00000000-0010-0000-0300-000003000000}" name="February" totalsRowFunction="sum" dataDxfId="306" totalsRowDxfId="305"/>
    <tableColumn id="4" xr3:uid="{00000000-0010-0000-0300-000004000000}" name="March" totalsRowFunction="sum" dataDxfId="304" totalsRowDxfId="303"/>
    <tableColumn id="5" xr3:uid="{00000000-0010-0000-0300-000005000000}" name="April" totalsRowFunction="sum" dataDxfId="302" totalsRowDxfId="301"/>
    <tableColumn id="6" xr3:uid="{00000000-0010-0000-0300-000006000000}" name="May" totalsRowFunction="sum" dataDxfId="300" totalsRowDxfId="299"/>
    <tableColumn id="7" xr3:uid="{00000000-0010-0000-0300-000007000000}" name="June" totalsRowFunction="sum" dataDxfId="298" totalsRowDxfId="297"/>
    <tableColumn id="8" xr3:uid="{00000000-0010-0000-0300-000008000000}" name="July" totalsRowFunction="sum" dataDxfId="296" totalsRowDxfId="295"/>
    <tableColumn id="9" xr3:uid="{00000000-0010-0000-0300-000009000000}" name="August" totalsRowFunction="sum" dataDxfId="294" totalsRowDxfId="293"/>
    <tableColumn id="10" xr3:uid="{00000000-0010-0000-0300-00000A000000}" name="September" totalsRowFunction="sum" dataDxfId="292" totalsRowDxfId="291"/>
    <tableColumn id="11" xr3:uid="{00000000-0010-0000-0300-00000B000000}" name="October" totalsRowFunction="sum" dataDxfId="290" totalsRowDxfId="289"/>
    <tableColumn id="12" xr3:uid="{00000000-0010-0000-0300-00000C000000}" name="November" totalsRowFunction="sum" dataDxfId="288" totalsRowDxfId="287"/>
    <tableColumn id="13" xr3:uid="{00000000-0010-0000-0300-00000D000000}" name="December" totalsRowFunction="sum" dataDxfId="286" totalsRowDxfId="285"/>
    <tableColumn id="14" xr3:uid="{00000000-0010-0000-0300-00000E000000}" name="Year" totalsRowFunction="sum" dataDxfId="284" totalsRowDxfId="283">
      <calculatedColumnFormula>SUM(Transportation[[#This Row],[January]:[December]])</calculatedColumnFormula>
    </tableColumn>
    <tableColumn id="15" xr3:uid="{00000000-0010-0000-0300-00000F000000}" name="Sparkline" dataDxfId="282" totalsRowDxfId="281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Transportation expense items and monthly amounts in this table. Annual amount and monthly Totals are auto calculated and sparklines are upd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Entertainment" displayName="Entertainment" ref="B37:P42" totalsRowCount="1" headerRowDxfId="280" dataDxfId="279" totalsRowDxfId="278">
  <autoFilter ref="B37:P41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400-000001000000}" name="ENTERTAINMENT" totalsRowLabel="Total" dataDxfId="277" totalsRowDxfId="276"/>
    <tableColumn id="2" xr3:uid="{00000000-0010-0000-0400-000002000000}" name="January" totalsRowFunction="sum" dataDxfId="275" totalsRowDxfId="274"/>
    <tableColumn id="3" xr3:uid="{00000000-0010-0000-0400-000003000000}" name="February" totalsRowFunction="sum" dataDxfId="273" totalsRowDxfId="272"/>
    <tableColumn id="4" xr3:uid="{00000000-0010-0000-0400-000004000000}" name="March" totalsRowFunction="sum" dataDxfId="271" totalsRowDxfId="270"/>
    <tableColumn id="5" xr3:uid="{00000000-0010-0000-0400-000005000000}" name="April" totalsRowFunction="sum" dataDxfId="269" totalsRowDxfId="268"/>
    <tableColumn id="6" xr3:uid="{00000000-0010-0000-0400-000006000000}" name="May" totalsRowFunction="sum" dataDxfId="267" totalsRowDxfId="266"/>
    <tableColumn id="7" xr3:uid="{00000000-0010-0000-0400-000007000000}" name="June" totalsRowFunction="sum" dataDxfId="265" totalsRowDxfId="264"/>
    <tableColumn id="8" xr3:uid="{00000000-0010-0000-0400-000008000000}" name="July" totalsRowFunction="sum" dataDxfId="263" totalsRowDxfId="262"/>
    <tableColumn id="9" xr3:uid="{00000000-0010-0000-0400-000009000000}" name="August" totalsRowFunction="sum" dataDxfId="261" totalsRowDxfId="260"/>
    <tableColumn id="10" xr3:uid="{00000000-0010-0000-0400-00000A000000}" name="September" totalsRowFunction="sum" dataDxfId="259" totalsRowDxfId="258"/>
    <tableColumn id="11" xr3:uid="{00000000-0010-0000-0400-00000B000000}" name="October" totalsRowFunction="sum" dataDxfId="257" totalsRowDxfId="256"/>
    <tableColumn id="12" xr3:uid="{00000000-0010-0000-0400-00000C000000}" name="November" totalsRowFunction="sum" dataDxfId="255" totalsRowDxfId="254"/>
    <tableColumn id="13" xr3:uid="{00000000-0010-0000-0400-00000D000000}" name="December" totalsRowFunction="sum" dataDxfId="253" totalsRowDxfId="252"/>
    <tableColumn id="14" xr3:uid="{00000000-0010-0000-0400-00000E000000}" name="Year" totalsRowFunction="sum" dataDxfId="251" totalsRowDxfId="250">
      <calculatedColumnFormula>SUM(Entertainment[[#This Row],[January]:[December]])</calculatedColumnFormula>
    </tableColumn>
    <tableColumn id="15" xr3:uid="{00000000-0010-0000-0400-00000F000000}" name="Sparkline" dataDxfId="249" totalsRowDxfId="248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Entertainment expense items and monthly amounts in this table. Annual amount and monthly Totals are auto calculated and sparklines are upd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Health" displayName="Health" ref="B44:P52" totalsRowCount="1" headerRowDxfId="247" dataDxfId="246" totalsRowDxfId="245">
  <autoFilter ref="B44:P51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500-000001000000}" name="HEALTH" totalsRowLabel="Total" dataDxfId="244" totalsRowDxfId="243"/>
    <tableColumn id="2" xr3:uid="{00000000-0010-0000-0500-000002000000}" name="January" totalsRowFunction="sum" dataDxfId="242" totalsRowDxfId="241"/>
    <tableColumn id="3" xr3:uid="{00000000-0010-0000-0500-000003000000}" name="February" totalsRowFunction="sum" dataDxfId="240" totalsRowDxfId="239"/>
    <tableColumn id="4" xr3:uid="{00000000-0010-0000-0500-000004000000}" name="March" totalsRowFunction="sum" dataDxfId="238" totalsRowDxfId="237"/>
    <tableColumn id="5" xr3:uid="{00000000-0010-0000-0500-000005000000}" name="April" totalsRowFunction="sum" dataDxfId="236" totalsRowDxfId="235"/>
    <tableColumn id="6" xr3:uid="{00000000-0010-0000-0500-000006000000}" name="May" totalsRowFunction="sum" dataDxfId="234" totalsRowDxfId="233"/>
    <tableColumn id="7" xr3:uid="{00000000-0010-0000-0500-000007000000}" name="June" totalsRowFunction="sum" dataDxfId="232" totalsRowDxfId="231"/>
    <tableColumn id="8" xr3:uid="{00000000-0010-0000-0500-000008000000}" name="July" totalsRowFunction="sum" dataDxfId="230" totalsRowDxfId="229"/>
    <tableColumn id="9" xr3:uid="{00000000-0010-0000-0500-000009000000}" name="August" totalsRowFunction="sum" dataDxfId="228" totalsRowDxfId="227"/>
    <tableColumn id="10" xr3:uid="{00000000-0010-0000-0500-00000A000000}" name="September" totalsRowFunction="sum" dataDxfId="226" totalsRowDxfId="225"/>
    <tableColumn id="11" xr3:uid="{00000000-0010-0000-0500-00000B000000}" name="October" totalsRowFunction="sum" dataDxfId="224" totalsRowDxfId="223"/>
    <tableColumn id="12" xr3:uid="{00000000-0010-0000-0500-00000C000000}" name="November" totalsRowFunction="sum" dataDxfId="222" totalsRowDxfId="221"/>
    <tableColumn id="13" xr3:uid="{00000000-0010-0000-0500-00000D000000}" name="December" totalsRowFunction="sum" dataDxfId="220" totalsRowDxfId="219"/>
    <tableColumn id="14" xr3:uid="{00000000-0010-0000-0500-00000E000000}" name="Year" totalsRowFunction="sum" dataDxfId="218" totalsRowDxfId="217">
      <calculatedColumnFormula>SUM(Health[[#This Row],[January]:[December]])</calculatedColumnFormula>
    </tableColumn>
    <tableColumn id="15" xr3:uid="{00000000-0010-0000-0500-00000F000000}" name="Sparkline" dataDxfId="216" totalsRowDxfId="215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Health expense items and monthly amounts in this table. Annual amount and monthly Totals are auto calculated and sparklines are upd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Vacations" displayName="Vacations" ref="B54:P61" totalsRowCount="1" headerRowDxfId="214" dataDxfId="213" totalsRowDxfId="212">
  <autoFilter ref="B54:P60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600-000001000000}" name="VACATIONS" totalsRowLabel="Total" dataDxfId="211" totalsRowDxfId="210"/>
    <tableColumn id="2" xr3:uid="{00000000-0010-0000-0600-000002000000}" name="January" totalsRowFunction="sum" dataDxfId="209" totalsRowDxfId="208"/>
    <tableColumn id="3" xr3:uid="{00000000-0010-0000-0600-000003000000}" name="February" totalsRowFunction="sum" dataDxfId="207" totalsRowDxfId="206"/>
    <tableColumn id="4" xr3:uid="{00000000-0010-0000-0600-000004000000}" name="March" totalsRowFunction="sum" dataDxfId="205" totalsRowDxfId="204"/>
    <tableColumn id="5" xr3:uid="{00000000-0010-0000-0600-000005000000}" name="April" totalsRowFunction="sum" dataDxfId="203" totalsRowDxfId="202"/>
    <tableColumn id="6" xr3:uid="{00000000-0010-0000-0600-000006000000}" name="May" totalsRowFunction="sum" dataDxfId="201" totalsRowDxfId="200"/>
    <tableColumn id="7" xr3:uid="{00000000-0010-0000-0600-000007000000}" name="June" totalsRowFunction="sum" dataDxfId="199" totalsRowDxfId="198"/>
    <tableColumn id="8" xr3:uid="{00000000-0010-0000-0600-000008000000}" name="July" totalsRowFunction="sum" dataDxfId="197" totalsRowDxfId="196"/>
    <tableColumn id="9" xr3:uid="{00000000-0010-0000-0600-000009000000}" name="August" totalsRowFunction="sum" dataDxfId="195" totalsRowDxfId="194"/>
    <tableColumn id="10" xr3:uid="{00000000-0010-0000-0600-00000A000000}" name="September" totalsRowFunction="sum" dataDxfId="193" totalsRowDxfId="192"/>
    <tableColumn id="11" xr3:uid="{00000000-0010-0000-0600-00000B000000}" name="October" totalsRowFunction="sum" dataDxfId="191" totalsRowDxfId="190"/>
    <tableColumn id="12" xr3:uid="{00000000-0010-0000-0600-00000C000000}" name="November" totalsRowFunction="sum" dataDxfId="189" totalsRowDxfId="188"/>
    <tableColumn id="13" xr3:uid="{00000000-0010-0000-0600-00000D000000}" name="December" totalsRowFunction="sum" dataDxfId="187" totalsRowDxfId="186"/>
    <tableColumn id="14" xr3:uid="{00000000-0010-0000-0600-00000E000000}" name="Year" totalsRowFunction="sum" dataDxfId="185" totalsRowDxfId="184">
      <calculatedColumnFormula>SUM(Vacations[[#This Row],[January]:[December]])</calculatedColumnFormula>
    </tableColumn>
    <tableColumn id="15" xr3:uid="{00000000-0010-0000-0600-00000F000000}" name="Sparkline" dataDxfId="183" totalsRowDxfId="182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Vacations expense items and monthly amounts in this table. Annual amount and monthly Totals are auto calculated and sparklines are upd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Recreation" displayName="Recreation" ref="B63:P68" totalsRowCount="1" headerRowDxfId="181" dataDxfId="180" totalsRowDxfId="179">
  <autoFilter ref="B63:P67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700-000001000000}" name="RECREATION" totalsRowLabel="Total" dataDxfId="178" totalsRowDxfId="177"/>
    <tableColumn id="2" xr3:uid="{00000000-0010-0000-0700-000002000000}" name="January" totalsRowFunction="sum" dataDxfId="176" totalsRowDxfId="175"/>
    <tableColumn id="3" xr3:uid="{00000000-0010-0000-0700-000003000000}" name="February" totalsRowFunction="sum" dataDxfId="174" totalsRowDxfId="173"/>
    <tableColumn id="4" xr3:uid="{00000000-0010-0000-0700-000004000000}" name="March" totalsRowFunction="sum" dataDxfId="172" totalsRowDxfId="171"/>
    <tableColumn id="5" xr3:uid="{00000000-0010-0000-0700-000005000000}" name="April" totalsRowFunction="sum" dataDxfId="170" totalsRowDxfId="169"/>
    <tableColumn id="6" xr3:uid="{00000000-0010-0000-0700-000006000000}" name="May" totalsRowFunction="sum" dataDxfId="168" totalsRowDxfId="167"/>
    <tableColumn id="7" xr3:uid="{00000000-0010-0000-0700-000007000000}" name="June" totalsRowFunction="sum" dataDxfId="166" totalsRowDxfId="165"/>
    <tableColumn id="8" xr3:uid="{00000000-0010-0000-0700-000008000000}" name="July" totalsRowFunction="sum" dataDxfId="164" totalsRowDxfId="163"/>
    <tableColumn id="9" xr3:uid="{00000000-0010-0000-0700-000009000000}" name="August" totalsRowFunction="sum" dataDxfId="162" totalsRowDxfId="161"/>
    <tableColumn id="10" xr3:uid="{00000000-0010-0000-0700-00000A000000}" name="September" totalsRowFunction="sum" dataDxfId="160" totalsRowDxfId="159"/>
    <tableColumn id="11" xr3:uid="{00000000-0010-0000-0700-00000B000000}" name="October" totalsRowFunction="sum" dataDxfId="158" totalsRowDxfId="157"/>
    <tableColumn id="12" xr3:uid="{00000000-0010-0000-0700-00000C000000}" name="November" totalsRowFunction="sum" dataDxfId="156" totalsRowDxfId="155"/>
    <tableColumn id="13" xr3:uid="{00000000-0010-0000-0700-00000D000000}" name="December" totalsRowFunction="sum" dataDxfId="154" totalsRowDxfId="153"/>
    <tableColumn id="14" xr3:uid="{00000000-0010-0000-0700-00000E000000}" name="Year" totalsRowFunction="sum" dataDxfId="152" totalsRowDxfId="151">
      <calculatedColumnFormula>SUM(Recreation[[#This Row],[January]:[December]])</calculatedColumnFormula>
    </tableColumn>
    <tableColumn id="15" xr3:uid="{00000000-0010-0000-0700-00000F000000}" name="Sparkline" dataDxfId="150" totalsRowDxfId="149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Recreation expense items and monthly amounts in this table. Annual amount and monthly Totals are auto calculated and sparklines are upd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DuesAndSubscription" displayName="DuesAndSubscription" ref="B70:P78" totalsRowCount="1" headerRowDxfId="148" dataDxfId="147" totalsRowDxfId="146">
  <autoFilter ref="B70:P77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800-000001000000}" name="DUES/SUBSCRIPTION" totalsRowLabel="Total" dataDxfId="145" totalsRowDxfId="144"/>
    <tableColumn id="2" xr3:uid="{00000000-0010-0000-0800-000002000000}" name="January" totalsRowFunction="sum" dataDxfId="143" totalsRowDxfId="142"/>
    <tableColumn id="3" xr3:uid="{00000000-0010-0000-0800-000003000000}" name="February" totalsRowFunction="sum" dataDxfId="141" totalsRowDxfId="140"/>
    <tableColumn id="4" xr3:uid="{00000000-0010-0000-0800-000004000000}" name="March" totalsRowFunction="sum" dataDxfId="139" totalsRowDxfId="138"/>
    <tableColumn id="5" xr3:uid="{00000000-0010-0000-0800-000005000000}" name="April" totalsRowFunction="sum" dataDxfId="137" totalsRowDxfId="136"/>
    <tableColumn id="6" xr3:uid="{00000000-0010-0000-0800-000006000000}" name="May" totalsRowFunction="sum" dataDxfId="135" totalsRowDxfId="134"/>
    <tableColumn id="7" xr3:uid="{00000000-0010-0000-0800-000007000000}" name="June" totalsRowFunction="sum" dataDxfId="133" totalsRowDxfId="132"/>
    <tableColumn id="8" xr3:uid="{00000000-0010-0000-0800-000008000000}" name="July" totalsRowFunction="sum" dataDxfId="131" totalsRowDxfId="130"/>
    <tableColumn id="9" xr3:uid="{00000000-0010-0000-0800-000009000000}" name="August" totalsRowFunction="sum" dataDxfId="129" totalsRowDxfId="128"/>
    <tableColumn id="10" xr3:uid="{00000000-0010-0000-0800-00000A000000}" name="September" totalsRowFunction="sum" dataDxfId="127" totalsRowDxfId="126"/>
    <tableColumn id="11" xr3:uid="{00000000-0010-0000-0800-00000B000000}" name="October" totalsRowFunction="sum" dataDxfId="125" totalsRowDxfId="124"/>
    <tableColumn id="12" xr3:uid="{00000000-0010-0000-0800-00000C000000}" name="November" totalsRowFunction="sum" dataDxfId="123" totalsRowDxfId="122"/>
    <tableColumn id="13" xr3:uid="{00000000-0010-0000-0800-00000D000000}" name="December" totalsRowFunction="sum" dataDxfId="121" totalsRowDxfId="120"/>
    <tableColumn id="14" xr3:uid="{00000000-0010-0000-0800-00000E000000}" name="Year" totalsRowFunction="sum" dataDxfId="119" totalsRowDxfId="118">
      <calculatedColumnFormula>SUM(DuesAndSubscription[[#This Row],[January]:[December]])</calculatedColumnFormula>
    </tableColumn>
    <tableColumn id="15" xr3:uid="{00000000-0010-0000-0800-00000F000000}" name="Sparkline" dataDxfId="117" totalsRowDxfId="116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Dues and Subscription items and monthly amounts in this table. Annual amount and monthly Totals are auto calculated and sparklines are updated"/>
    </ext>
  </extLst>
</table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304157"/>
      </a:dk2>
      <a:lt2>
        <a:srgbClr val="E7E6E6"/>
      </a:lt2>
      <a:accent1>
        <a:srgbClr val="1B79AD"/>
      </a:accent1>
      <a:accent2>
        <a:srgbClr val="1D7B7D"/>
      </a:accent2>
      <a:accent3>
        <a:srgbClr val="EF4755"/>
      </a:accent3>
      <a:accent4>
        <a:srgbClr val="FFC000"/>
      </a:accent4>
      <a:accent5>
        <a:srgbClr val="176795"/>
      </a:accent5>
      <a:accent6>
        <a:srgbClr val="4D81BF"/>
      </a:accent6>
      <a:hlink>
        <a:srgbClr val="F78F2F"/>
      </a:hlink>
      <a:folHlink>
        <a:srgbClr val="F78F2F"/>
      </a:folHlink>
    </a:clrScheme>
    <a:fontScheme name="Custom 13">
      <a:majorFont>
        <a:latin typeface="Gill Sans MT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Q107"/>
  <sheetViews>
    <sheetView showGridLines="0" tabSelected="1" topLeftCell="A73" zoomScale="96" zoomScaleNormal="96" workbookViewId="0">
      <selection activeCell="G110" sqref="G110"/>
    </sheetView>
  </sheetViews>
  <sheetFormatPr defaultRowHeight="30" customHeight="1" x14ac:dyDescent="0.2"/>
  <cols>
    <col min="1" max="1" width="4.75" style="12" customWidth="1"/>
    <col min="2" max="2" width="30.625" customWidth="1"/>
    <col min="3" max="15" width="12.375" style="1" customWidth="1"/>
    <col min="16" max="16" width="12.375" customWidth="1"/>
    <col min="17" max="17" width="2.625" customWidth="1"/>
  </cols>
  <sheetData>
    <row r="1" spans="1:17" ht="46.5" customHeight="1" x14ac:dyDescent="0.7">
      <c r="A1" s="13" t="s">
        <v>102</v>
      </c>
      <c r="B1" s="57" t="s">
        <v>93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26.25" customHeight="1" x14ac:dyDescent="0.2"/>
    <row r="3" spans="1:17" ht="21" customHeight="1" x14ac:dyDescent="0.2">
      <c r="A3" s="12" t="s">
        <v>103</v>
      </c>
      <c r="B3" s="5" t="s">
        <v>83</v>
      </c>
      <c r="C3" s="42" t="s">
        <v>70</v>
      </c>
      <c r="D3" s="6" t="s">
        <v>71</v>
      </c>
      <c r="E3" s="42" t="s">
        <v>73</v>
      </c>
      <c r="F3" s="6" t="s">
        <v>74</v>
      </c>
      <c r="G3" s="42" t="s">
        <v>72</v>
      </c>
      <c r="H3" s="6" t="s">
        <v>75</v>
      </c>
      <c r="I3" s="42" t="s">
        <v>76</v>
      </c>
      <c r="J3" s="6" t="s">
        <v>77</v>
      </c>
      <c r="K3" s="42" t="s">
        <v>78</v>
      </c>
      <c r="L3" s="6" t="s">
        <v>79</v>
      </c>
      <c r="M3" s="42" t="s">
        <v>80</v>
      </c>
      <c r="N3" s="6" t="s">
        <v>81</v>
      </c>
      <c r="O3" s="42" t="s">
        <v>82</v>
      </c>
      <c r="P3" s="6"/>
    </row>
    <row r="4" spans="1:17" ht="15.95" customHeight="1" x14ac:dyDescent="0.2">
      <c r="A4" s="13" t="s">
        <v>104</v>
      </c>
      <c r="B4" s="15" t="s">
        <v>56</v>
      </c>
      <c r="C4" s="43" t="s">
        <v>94</v>
      </c>
      <c r="D4" s="9" t="s">
        <v>95</v>
      </c>
      <c r="E4" s="43" t="s">
        <v>87</v>
      </c>
      <c r="F4" s="9" t="s">
        <v>88</v>
      </c>
      <c r="G4" s="43" t="s">
        <v>89</v>
      </c>
      <c r="H4" s="9" t="s">
        <v>90</v>
      </c>
      <c r="I4" s="43" t="s">
        <v>91</v>
      </c>
      <c r="J4" s="9" t="s">
        <v>96</v>
      </c>
      <c r="K4" s="43" t="s">
        <v>97</v>
      </c>
      <c r="L4" s="9" t="s">
        <v>98</v>
      </c>
      <c r="M4" s="43" t="s">
        <v>99</v>
      </c>
      <c r="N4" s="9" t="s">
        <v>100</v>
      </c>
      <c r="O4" s="43" t="s">
        <v>92</v>
      </c>
      <c r="P4" s="9" t="s">
        <v>101</v>
      </c>
    </row>
    <row r="5" spans="1:17" ht="15.95" customHeight="1" x14ac:dyDescent="0.2">
      <c r="B5" s="16" t="s">
        <v>0</v>
      </c>
      <c r="C5" s="44">
        <v>2600</v>
      </c>
      <c r="D5" s="2">
        <v>2600</v>
      </c>
      <c r="E5" s="44">
        <v>2600</v>
      </c>
      <c r="F5" s="2"/>
      <c r="G5" s="44"/>
      <c r="H5" s="2"/>
      <c r="I5" s="44"/>
      <c r="J5" s="2"/>
      <c r="K5" s="44"/>
      <c r="L5" s="2"/>
      <c r="M5" s="44"/>
      <c r="N5" s="2"/>
      <c r="O5" s="44">
        <f>SUM(Income[[#This Row],[January]:[December]])</f>
        <v>7800</v>
      </c>
      <c r="P5" s="2"/>
    </row>
    <row r="6" spans="1:17" ht="15.95" customHeight="1" x14ac:dyDescent="0.2">
      <c r="B6" s="16" t="s">
        <v>86</v>
      </c>
      <c r="C6" s="44">
        <v>649</v>
      </c>
      <c r="D6" s="2">
        <v>313</v>
      </c>
      <c r="E6" s="44">
        <v>664</v>
      </c>
      <c r="F6" s="2"/>
      <c r="G6" s="44"/>
      <c r="H6" s="2"/>
      <c r="I6" s="44"/>
      <c r="J6" s="2"/>
      <c r="K6" s="44"/>
      <c r="L6" s="2"/>
      <c r="M6" s="44"/>
      <c r="N6" s="2"/>
      <c r="O6" s="44">
        <f>SUM(Income[[#This Row],[January]:[December]])</f>
        <v>1626</v>
      </c>
      <c r="P6" s="7"/>
    </row>
    <row r="7" spans="1:17" ht="15.95" customHeight="1" x14ac:dyDescent="0.2">
      <c r="B7" s="16" t="s">
        <v>1</v>
      </c>
      <c r="C7" s="44">
        <v>474</v>
      </c>
      <c r="D7" s="2">
        <v>643</v>
      </c>
      <c r="E7" s="44">
        <v>380</v>
      </c>
      <c r="F7" s="2"/>
      <c r="G7" s="44"/>
      <c r="H7" s="2"/>
      <c r="I7" s="44"/>
      <c r="J7" s="2"/>
      <c r="K7" s="44"/>
      <c r="L7" s="2"/>
      <c r="M7" s="44"/>
      <c r="N7" s="2"/>
      <c r="O7" s="44">
        <f>SUM(Income[[#This Row],[January]:[December]])</f>
        <v>1497</v>
      </c>
      <c r="P7" s="2"/>
    </row>
    <row r="8" spans="1:17" ht="21" customHeight="1" x14ac:dyDescent="0.2">
      <c r="B8" s="46" t="s">
        <v>55</v>
      </c>
      <c r="C8" s="44">
        <f>SUBTOTAL(109,Income[January])</f>
        <v>3723</v>
      </c>
      <c r="D8" s="7">
        <f>SUBTOTAL(109,Income[February])</f>
        <v>3556</v>
      </c>
      <c r="E8" s="44">
        <f>SUBTOTAL(109,Income[March])</f>
        <v>3644</v>
      </c>
      <c r="F8" s="7">
        <f>SUBTOTAL(109,Income[April])</f>
        <v>0</v>
      </c>
      <c r="G8" s="44">
        <f>SUBTOTAL(109,Income[May])</f>
        <v>0</v>
      </c>
      <c r="H8" s="7">
        <f>SUBTOTAL(109,Income[June])</f>
        <v>0</v>
      </c>
      <c r="I8" s="44">
        <f>SUBTOTAL(109,Income[July])</f>
        <v>0</v>
      </c>
      <c r="J8" s="7">
        <f>SUBTOTAL(109,Income[August])</f>
        <v>0</v>
      </c>
      <c r="K8" s="44">
        <f>SUBTOTAL(109,Income[September])</f>
        <v>0</v>
      </c>
      <c r="L8" s="7">
        <f>SUBTOTAL(109,Income[October])</f>
        <v>0</v>
      </c>
      <c r="M8" s="44">
        <f>SUBTOTAL(109,Income[November])</f>
        <v>0</v>
      </c>
      <c r="N8" s="7">
        <f>SUBTOTAL(109,Income[December])</f>
        <v>0</v>
      </c>
      <c r="O8" s="44">
        <f>SUBTOTAL(109,Income[Year])</f>
        <v>10923</v>
      </c>
      <c r="P8" s="47"/>
    </row>
    <row r="9" spans="1:17" ht="24" customHeight="1" x14ac:dyDescent="0.2">
      <c r="C9"/>
      <c r="D9"/>
      <c r="E9"/>
      <c r="F9"/>
      <c r="G9"/>
      <c r="H9"/>
      <c r="I9"/>
      <c r="J9"/>
      <c r="K9"/>
      <c r="L9"/>
      <c r="M9"/>
      <c r="N9"/>
      <c r="O9"/>
    </row>
    <row r="10" spans="1:17" ht="21" customHeight="1" x14ac:dyDescent="0.2">
      <c r="A10" s="12" t="s">
        <v>105</v>
      </c>
      <c r="B10" s="5" t="s">
        <v>57</v>
      </c>
      <c r="C10" s="42" t="s">
        <v>70</v>
      </c>
      <c r="D10" s="6" t="s">
        <v>71</v>
      </c>
      <c r="E10" s="42" t="s">
        <v>73</v>
      </c>
      <c r="F10" s="6" t="s">
        <v>74</v>
      </c>
      <c r="G10" s="42" t="s">
        <v>72</v>
      </c>
      <c r="H10" s="6" t="s">
        <v>75</v>
      </c>
      <c r="I10" s="42" t="s">
        <v>76</v>
      </c>
      <c r="J10" s="6" t="s">
        <v>77</v>
      </c>
      <c r="K10" s="42" t="s">
        <v>78</v>
      </c>
      <c r="L10" s="6" t="s">
        <v>79</v>
      </c>
      <c r="M10" s="42" t="s">
        <v>80</v>
      </c>
      <c r="N10" s="6" t="s">
        <v>81</v>
      </c>
      <c r="O10" s="42" t="s">
        <v>82</v>
      </c>
      <c r="P10" s="6"/>
    </row>
    <row r="11" spans="1:17" ht="15.95" customHeight="1" x14ac:dyDescent="0.2">
      <c r="A11" s="12" t="s">
        <v>106</v>
      </c>
      <c r="B11" s="15" t="s">
        <v>58</v>
      </c>
      <c r="C11" s="43" t="s">
        <v>94</v>
      </c>
      <c r="D11" s="9" t="s">
        <v>95</v>
      </c>
      <c r="E11" s="43" t="s">
        <v>87</v>
      </c>
      <c r="F11" s="9" t="s">
        <v>88</v>
      </c>
      <c r="G11" s="43" t="s">
        <v>89</v>
      </c>
      <c r="H11" s="9" t="s">
        <v>90</v>
      </c>
      <c r="I11" s="43" t="s">
        <v>91</v>
      </c>
      <c r="J11" s="9" t="s">
        <v>96</v>
      </c>
      <c r="K11" s="43" t="s">
        <v>97</v>
      </c>
      <c r="L11" s="9" t="s">
        <v>98</v>
      </c>
      <c r="M11" s="43" t="s">
        <v>99</v>
      </c>
      <c r="N11" s="9" t="s">
        <v>100</v>
      </c>
      <c r="O11" s="43" t="s">
        <v>92</v>
      </c>
      <c r="P11" s="9" t="s">
        <v>101</v>
      </c>
    </row>
    <row r="12" spans="1:17" ht="15.95" customHeight="1" x14ac:dyDescent="0.2">
      <c r="B12" s="16" t="s">
        <v>84</v>
      </c>
      <c r="C12" s="45">
        <v>750</v>
      </c>
      <c r="D12" s="3">
        <v>750</v>
      </c>
      <c r="E12" s="45">
        <v>750</v>
      </c>
      <c r="F12" s="3"/>
      <c r="G12" s="45"/>
      <c r="H12" s="3"/>
      <c r="I12" s="45"/>
      <c r="J12" s="3"/>
      <c r="K12" s="45"/>
      <c r="L12" s="3"/>
      <c r="M12" s="45"/>
      <c r="N12" s="3"/>
      <c r="O12" s="45">
        <f>SUM(Home[[#This Row],[January]:[December]])</f>
        <v>2250</v>
      </c>
      <c r="P12" s="3"/>
    </row>
    <row r="13" spans="1:17" ht="15.95" customHeight="1" x14ac:dyDescent="0.2">
      <c r="B13" s="16" t="s">
        <v>10</v>
      </c>
      <c r="C13" s="45"/>
      <c r="D13" s="3"/>
      <c r="E13" s="45"/>
      <c r="F13" s="3"/>
      <c r="G13" s="45"/>
      <c r="H13" s="3"/>
      <c r="I13" s="45"/>
      <c r="J13" s="3"/>
      <c r="K13" s="45"/>
      <c r="L13" s="3"/>
      <c r="M13" s="45"/>
      <c r="N13" s="3"/>
      <c r="O13" s="45">
        <f>SUM(Home[[#This Row],[January]:[December]])</f>
        <v>0</v>
      </c>
      <c r="P13" s="8"/>
    </row>
    <row r="14" spans="1:17" ht="15.95" customHeight="1" x14ac:dyDescent="0.2">
      <c r="B14" s="16" t="s">
        <v>11</v>
      </c>
      <c r="C14" s="45"/>
      <c r="D14" s="3"/>
      <c r="E14" s="45">
        <v>75</v>
      </c>
      <c r="F14" s="3"/>
      <c r="G14" s="45"/>
      <c r="H14" s="3"/>
      <c r="I14" s="45"/>
      <c r="J14" s="3"/>
      <c r="K14" s="45"/>
      <c r="L14" s="3"/>
      <c r="M14" s="45"/>
      <c r="N14" s="3"/>
      <c r="O14" s="45">
        <f>SUM(Home[[#This Row],[January]:[December]])</f>
        <v>75</v>
      </c>
      <c r="P14" s="3"/>
    </row>
    <row r="15" spans="1:17" ht="15.95" customHeight="1" x14ac:dyDescent="0.2">
      <c r="B15" s="16" t="s">
        <v>85</v>
      </c>
      <c r="C15" s="45">
        <v>35</v>
      </c>
      <c r="D15" s="3">
        <v>35</v>
      </c>
      <c r="E15" s="45">
        <v>35</v>
      </c>
      <c r="F15" s="3"/>
      <c r="G15" s="45"/>
      <c r="H15" s="3"/>
      <c r="I15" s="45"/>
      <c r="J15" s="3"/>
      <c r="K15" s="45"/>
      <c r="L15" s="3"/>
      <c r="M15" s="45"/>
      <c r="N15" s="3"/>
      <c r="O15" s="45">
        <f>SUM(Home[[#This Row],[January]:[December]])</f>
        <v>105</v>
      </c>
      <c r="P15" s="8"/>
      <c r="Q15" s="4"/>
    </row>
    <row r="16" spans="1:17" ht="15.95" customHeight="1" x14ac:dyDescent="0.2">
      <c r="B16" s="16" t="s">
        <v>2</v>
      </c>
      <c r="C16" s="45">
        <v>165</v>
      </c>
      <c r="D16" s="3">
        <v>165</v>
      </c>
      <c r="E16" s="45">
        <v>165</v>
      </c>
      <c r="F16" s="3"/>
      <c r="G16" s="45"/>
      <c r="H16" s="3"/>
      <c r="I16" s="45"/>
      <c r="J16" s="3"/>
      <c r="K16" s="45"/>
      <c r="L16" s="3"/>
      <c r="M16" s="45"/>
      <c r="N16" s="3"/>
      <c r="O16" s="45">
        <f>SUM(Home[[#This Row],[January]:[December]])</f>
        <v>495</v>
      </c>
      <c r="P16" s="3"/>
    </row>
    <row r="17" spans="1:16" ht="21" customHeight="1" x14ac:dyDescent="0.2">
      <c r="A17" s="14"/>
      <c r="B17" s="46" t="s">
        <v>55</v>
      </c>
      <c r="C17" s="45">
        <f>SUBTOTAL(109,Home[January])</f>
        <v>950</v>
      </c>
      <c r="D17" s="8">
        <f>SUBTOTAL(109,Home[February])</f>
        <v>950</v>
      </c>
      <c r="E17" s="45">
        <f>SUBTOTAL(109,Home[March])</f>
        <v>1025</v>
      </c>
      <c r="F17" s="8">
        <f>SUBTOTAL(109,Home[April])</f>
        <v>0</v>
      </c>
      <c r="G17" s="45">
        <f>SUBTOTAL(109,Home[May])</f>
        <v>0</v>
      </c>
      <c r="H17" s="8">
        <f>SUBTOTAL(109,Home[June])</f>
        <v>0</v>
      </c>
      <c r="I17" s="45">
        <f>SUBTOTAL(109,Home[July])</f>
        <v>0</v>
      </c>
      <c r="J17" s="8">
        <f>SUBTOTAL(109,Home[August])</f>
        <v>0</v>
      </c>
      <c r="K17" s="45">
        <f>SUBTOTAL(109,Home[September])</f>
        <v>0</v>
      </c>
      <c r="L17" s="8">
        <f>SUBTOTAL(109,Home[October])</f>
        <v>0</v>
      </c>
      <c r="M17" s="45">
        <f>SUBTOTAL(109,Home[November])</f>
        <v>0</v>
      </c>
      <c r="N17" s="8">
        <f>SUBTOTAL(109,Home[December])</f>
        <v>0</v>
      </c>
      <c r="O17" s="45">
        <f>SUBTOTAL(109,Home[Year])</f>
        <v>2925</v>
      </c>
      <c r="P17" s="48"/>
    </row>
    <row r="18" spans="1:16" ht="24" customHeight="1" x14ac:dyDescent="0.2"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1:16" ht="15.95" customHeight="1" x14ac:dyDescent="0.2">
      <c r="A19" s="12" t="s">
        <v>107</v>
      </c>
      <c r="B19" s="17" t="s">
        <v>60</v>
      </c>
      <c r="C19" s="32" t="s">
        <v>94</v>
      </c>
      <c r="D19" s="33" t="s">
        <v>95</v>
      </c>
      <c r="E19" s="32" t="s">
        <v>87</v>
      </c>
      <c r="F19" s="33" t="s">
        <v>88</v>
      </c>
      <c r="G19" s="32" t="s">
        <v>89</v>
      </c>
      <c r="H19" s="33" t="s">
        <v>90</v>
      </c>
      <c r="I19" s="32" t="s">
        <v>91</v>
      </c>
      <c r="J19" s="33" t="s">
        <v>96</v>
      </c>
      <c r="K19" s="32" t="s">
        <v>97</v>
      </c>
      <c r="L19" s="33" t="s">
        <v>98</v>
      </c>
      <c r="M19" s="32" t="s">
        <v>99</v>
      </c>
      <c r="N19" s="33" t="s">
        <v>100</v>
      </c>
      <c r="O19" s="32" t="s">
        <v>92</v>
      </c>
      <c r="P19" s="33" t="s">
        <v>101</v>
      </c>
    </row>
    <row r="20" spans="1:16" ht="15.95" customHeight="1" x14ac:dyDescent="0.2">
      <c r="B20" s="18" t="s">
        <v>3</v>
      </c>
      <c r="C20" s="34">
        <v>191</v>
      </c>
      <c r="D20" s="35">
        <v>152</v>
      </c>
      <c r="E20" s="34">
        <v>145</v>
      </c>
      <c r="F20" s="35"/>
      <c r="G20" s="34"/>
      <c r="H20" s="35"/>
      <c r="I20" s="34"/>
      <c r="J20" s="35"/>
      <c r="K20" s="34"/>
      <c r="L20" s="35"/>
      <c r="M20" s="34"/>
      <c r="N20" s="35"/>
      <c r="O20" s="34">
        <f>SUM(Daily[[#This Row],[January]:[December]])</f>
        <v>488</v>
      </c>
      <c r="P20" s="36"/>
    </row>
    <row r="21" spans="1:16" ht="15.95" customHeight="1" x14ac:dyDescent="0.2">
      <c r="B21" s="18" t="s">
        <v>4</v>
      </c>
      <c r="C21" s="34">
        <v>200</v>
      </c>
      <c r="D21" s="35">
        <v>200</v>
      </c>
      <c r="E21" s="34">
        <v>200</v>
      </c>
      <c r="F21" s="35"/>
      <c r="G21" s="34"/>
      <c r="H21" s="35"/>
      <c r="I21" s="34"/>
      <c r="J21" s="35"/>
      <c r="K21" s="34"/>
      <c r="L21" s="35"/>
      <c r="M21" s="34"/>
      <c r="N21" s="35"/>
      <c r="O21" s="34">
        <f>SUM(Daily[[#This Row],[January]:[December]])</f>
        <v>600</v>
      </c>
      <c r="P21" s="35"/>
    </row>
    <row r="22" spans="1:16" ht="15.95" customHeight="1" x14ac:dyDescent="0.2">
      <c r="B22" s="18" t="s">
        <v>5</v>
      </c>
      <c r="C22" s="34">
        <v>20</v>
      </c>
      <c r="D22" s="35"/>
      <c r="E22" s="34">
        <v>20</v>
      </c>
      <c r="F22" s="35"/>
      <c r="G22" s="34"/>
      <c r="H22" s="35"/>
      <c r="I22" s="34"/>
      <c r="J22" s="35"/>
      <c r="K22" s="34"/>
      <c r="L22" s="35"/>
      <c r="M22" s="34"/>
      <c r="N22" s="35"/>
      <c r="O22" s="34">
        <f>SUM(Daily[[#This Row],[January]:[December]])</f>
        <v>40</v>
      </c>
      <c r="P22" s="36"/>
    </row>
    <row r="23" spans="1:16" ht="15.95" customHeight="1" x14ac:dyDescent="0.2">
      <c r="B23" s="18" t="s">
        <v>6</v>
      </c>
      <c r="C23" s="34">
        <v>55</v>
      </c>
      <c r="D23" s="35"/>
      <c r="E23" s="34">
        <v>56</v>
      </c>
      <c r="F23" s="35"/>
      <c r="G23" s="34"/>
      <c r="H23" s="35"/>
      <c r="I23" s="34"/>
      <c r="J23" s="35"/>
      <c r="K23" s="34"/>
      <c r="L23" s="35"/>
      <c r="M23" s="34"/>
      <c r="N23" s="35"/>
      <c r="O23" s="34">
        <f>SUM(Daily[[#This Row],[January]:[December]])</f>
        <v>111</v>
      </c>
      <c r="P23" s="35"/>
    </row>
    <row r="24" spans="1:16" ht="15.95" customHeight="1" x14ac:dyDescent="0.2">
      <c r="B24" s="18" t="s">
        <v>7</v>
      </c>
      <c r="C24" s="34">
        <v>25</v>
      </c>
      <c r="D24" s="35">
        <v>17</v>
      </c>
      <c r="E24" s="34">
        <v>7</v>
      </c>
      <c r="F24" s="35"/>
      <c r="G24" s="34"/>
      <c r="H24" s="35"/>
      <c r="I24" s="34"/>
      <c r="J24" s="35"/>
      <c r="K24" s="34"/>
      <c r="L24" s="35"/>
      <c r="M24" s="34"/>
      <c r="N24" s="35"/>
      <c r="O24" s="34">
        <f>SUM(Daily[[#This Row],[January]:[December]])</f>
        <v>49</v>
      </c>
      <c r="P24" s="36"/>
    </row>
    <row r="25" spans="1:16" ht="19.5" customHeight="1" x14ac:dyDescent="0.2">
      <c r="A25" s="14"/>
      <c r="B25" s="18" t="s">
        <v>8</v>
      </c>
      <c r="C25" s="34">
        <v>10</v>
      </c>
      <c r="D25" s="35">
        <v>5</v>
      </c>
      <c r="E25" s="34">
        <v>7</v>
      </c>
      <c r="F25" s="35"/>
      <c r="G25" s="34"/>
      <c r="H25" s="35"/>
      <c r="I25" s="34"/>
      <c r="J25" s="35"/>
      <c r="K25" s="34"/>
      <c r="L25" s="35"/>
      <c r="M25" s="34"/>
      <c r="N25" s="35"/>
      <c r="O25" s="34">
        <f>SUM(Daily[[#This Row],[January]:[December]])</f>
        <v>22</v>
      </c>
      <c r="P25" s="35"/>
    </row>
    <row r="26" spans="1:16" ht="21" customHeight="1" x14ac:dyDescent="0.2">
      <c r="B26" s="46" t="s">
        <v>55</v>
      </c>
      <c r="C26" s="34">
        <f>SUBTOTAL(109,Daily[January])</f>
        <v>501</v>
      </c>
      <c r="D26" s="36">
        <f>SUBTOTAL(109,Daily[February])</f>
        <v>374</v>
      </c>
      <c r="E26" s="34">
        <f>SUBTOTAL(109,Daily[March])</f>
        <v>435</v>
      </c>
      <c r="F26" s="36">
        <f>SUBTOTAL(109,Daily[April])</f>
        <v>0</v>
      </c>
      <c r="G26" s="34">
        <f>SUBTOTAL(109,Daily[May])</f>
        <v>0</v>
      </c>
      <c r="H26" s="36">
        <f>SUBTOTAL(109,Daily[June])</f>
        <v>0</v>
      </c>
      <c r="I26" s="34">
        <f>SUBTOTAL(109,Daily[July])</f>
        <v>0</v>
      </c>
      <c r="J26" s="36">
        <f>SUBTOTAL(109,Daily[August])</f>
        <v>0</v>
      </c>
      <c r="K26" s="34">
        <f>SUBTOTAL(109,Daily[September])</f>
        <v>0</v>
      </c>
      <c r="L26" s="36">
        <f>SUBTOTAL(109,Daily[October])</f>
        <v>0</v>
      </c>
      <c r="M26" s="34">
        <f>SUBTOTAL(109,Daily[November])</f>
        <v>0</v>
      </c>
      <c r="N26" s="36">
        <f>SUBTOTAL(109,Daily[December])</f>
        <v>0</v>
      </c>
      <c r="O26" s="34">
        <f>SUBTOTAL(109,Daily[Year])</f>
        <v>1310</v>
      </c>
      <c r="P26" s="49"/>
    </row>
    <row r="27" spans="1:16" ht="20.100000000000001" customHeight="1" x14ac:dyDescent="0.2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</row>
    <row r="28" spans="1:16" ht="15.95" customHeight="1" x14ac:dyDescent="0.2">
      <c r="A28" s="13" t="s">
        <v>108</v>
      </c>
      <c r="B28" s="19" t="s">
        <v>59</v>
      </c>
      <c r="C28" s="38" t="s">
        <v>94</v>
      </c>
      <c r="D28" s="33" t="s">
        <v>95</v>
      </c>
      <c r="E28" s="38" t="s">
        <v>87</v>
      </c>
      <c r="F28" s="33" t="s">
        <v>88</v>
      </c>
      <c r="G28" s="38" t="s">
        <v>89</v>
      </c>
      <c r="H28" s="33" t="s">
        <v>90</v>
      </c>
      <c r="I28" s="38" t="s">
        <v>91</v>
      </c>
      <c r="J28" s="33" t="s">
        <v>96</v>
      </c>
      <c r="K28" s="38" t="s">
        <v>97</v>
      </c>
      <c r="L28" s="33" t="s">
        <v>98</v>
      </c>
      <c r="M28" s="38" t="s">
        <v>99</v>
      </c>
      <c r="N28" s="33" t="s">
        <v>100</v>
      </c>
      <c r="O28" s="38" t="s">
        <v>92</v>
      </c>
      <c r="P28" s="33" t="s">
        <v>101</v>
      </c>
    </row>
    <row r="29" spans="1:16" ht="15.95" customHeight="1" x14ac:dyDescent="0.2">
      <c r="B29" s="16" t="s">
        <v>9</v>
      </c>
      <c r="C29" s="34">
        <v>195</v>
      </c>
      <c r="D29" s="30">
        <v>125</v>
      </c>
      <c r="E29" s="34">
        <v>171</v>
      </c>
      <c r="F29" s="30"/>
      <c r="G29" s="34"/>
      <c r="H29" s="30"/>
      <c r="I29" s="34"/>
      <c r="J29" s="30"/>
      <c r="K29" s="34"/>
      <c r="L29" s="30"/>
      <c r="M29" s="34"/>
      <c r="N29" s="30"/>
      <c r="O29" s="34">
        <f>SUM(Transportation[[#This Row],[January]:[December]])</f>
        <v>491</v>
      </c>
      <c r="P29" s="36"/>
    </row>
    <row r="30" spans="1:16" ht="15.95" customHeight="1" x14ac:dyDescent="0.2">
      <c r="B30" s="16" t="s">
        <v>10</v>
      </c>
      <c r="C30" s="34">
        <v>165</v>
      </c>
      <c r="D30" s="30">
        <v>165</v>
      </c>
      <c r="E30" s="34">
        <v>165</v>
      </c>
      <c r="F30" s="30"/>
      <c r="G30" s="34"/>
      <c r="H30" s="30"/>
      <c r="I30" s="34"/>
      <c r="J30" s="30"/>
      <c r="K30" s="34"/>
      <c r="L30" s="30"/>
      <c r="M30" s="34"/>
      <c r="N30" s="30"/>
      <c r="O30" s="34">
        <f>SUM(Transportation[[#This Row],[January]:[December]])</f>
        <v>495</v>
      </c>
      <c r="P30" s="30"/>
    </row>
    <row r="31" spans="1:16" ht="15.95" customHeight="1" x14ac:dyDescent="0.2">
      <c r="B31" s="16" t="s">
        <v>11</v>
      </c>
      <c r="C31" s="34"/>
      <c r="D31" s="30"/>
      <c r="E31" s="34"/>
      <c r="F31" s="30"/>
      <c r="G31" s="34"/>
      <c r="H31" s="30"/>
      <c r="I31" s="34"/>
      <c r="J31" s="30"/>
      <c r="K31" s="34"/>
      <c r="L31" s="30"/>
      <c r="M31" s="34"/>
      <c r="N31" s="30"/>
      <c r="O31" s="34">
        <f>SUM(Transportation[[#This Row],[January]:[December]])</f>
        <v>0</v>
      </c>
      <c r="P31" s="36"/>
    </row>
    <row r="32" spans="1:16" ht="15.95" customHeight="1" x14ac:dyDescent="0.2">
      <c r="B32" s="16" t="s">
        <v>12</v>
      </c>
      <c r="C32" s="34">
        <v>10</v>
      </c>
      <c r="D32" s="30"/>
      <c r="E32" s="34"/>
      <c r="F32" s="30"/>
      <c r="G32" s="34"/>
      <c r="H32" s="30"/>
      <c r="I32" s="34"/>
      <c r="J32" s="30"/>
      <c r="K32" s="34"/>
      <c r="L32" s="30"/>
      <c r="M32" s="34"/>
      <c r="N32" s="30"/>
      <c r="O32" s="34">
        <f>SUM(Transportation[[#This Row],[January]:[December]])</f>
        <v>10</v>
      </c>
      <c r="P32" s="30"/>
    </row>
    <row r="33" spans="1:16" ht="15.95" customHeight="1" x14ac:dyDescent="0.2">
      <c r="A33" s="14"/>
      <c r="B33" s="16" t="s">
        <v>13</v>
      </c>
      <c r="C33" s="34">
        <v>10</v>
      </c>
      <c r="D33" s="30">
        <v>40</v>
      </c>
      <c r="E33" s="34">
        <v>20</v>
      </c>
      <c r="F33" s="30"/>
      <c r="G33" s="34"/>
      <c r="H33" s="30"/>
      <c r="I33" s="34"/>
      <c r="J33" s="30"/>
      <c r="K33" s="34"/>
      <c r="L33" s="30"/>
      <c r="M33" s="34"/>
      <c r="N33" s="30"/>
      <c r="O33" s="34">
        <f>SUM(Transportation[[#This Row],[January]:[December]])</f>
        <v>70</v>
      </c>
      <c r="P33" s="36"/>
    </row>
    <row r="34" spans="1:16" ht="15.95" customHeight="1" x14ac:dyDescent="0.2">
      <c r="B34" s="16" t="s">
        <v>14</v>
      </c>
      <c r="C34" s="34">
        <v>20</v>
      </c>
      <c r="D34" s="30">
        <v>40</v>
      </c>
      <c r="E34" s="34">
        <v>30</v>
      </c>
      <c r="F34" s="30"/>
      <c r="G34" s="34"/>
      <c r="H34" s="30"/>
      <c r="I34" s="34"/>
      <c r="J34" s="30"/>
      <c r="K34" s="34"/>
      <c r="L34" s="30"/>
      <c r="M34" s="34"/>
      <c r="N34" s="30"/>
      <c r="O34" s="34">
        <f>SUM(Transportation[[#This Row],[January]:[December]])</f>
        <v>90</v>
      </c>
      <c r="P34" s="30"/>
    </row>
    <row r="35" spans="1:16" ht="21" customHeight="1" x14ac:dyDescent="0.2">
      <c r="B35" s="46" t="s">
        <v>55</v>
      </c>
      <c r="C35" s="34">
        <f>SUBTOTAL(109,Transportation[January])</f>
        <v>400</v>
      </c>
      <c r="D35" s="36">
        <f>SUBTOTAL(109,Transportation[February])</f>
        <v>370</v>
      </c>
      <c r="E35" s="34">
        <f>SUBTOTAL(109,Transportation[March])</f>
        <v>386</v>
      </c>
      <c r="F35" s="36">
        <f>SUBTOTAL(109,Transportation[April])</f>
        <v>0</v>
      </c>
      <c r="G35" s="34">
        <f>SUBTOTAL(109,Transportation[May])</f>
        <v>0</v>
      </c>
      <c r="H35" s="36">
        <f>SUBTOTAL(109,Transportation[June])</f>
        <v>0</v>
      </c>
      <c r="I35" s="34">
        <f>SUBTOTAL(109,Transportation[July])</f>
        <v>0</v>
      </c>
      <c r="J35" s="36">
        <f>SUBTOTAL(109,Transportation[August])</f>
        <v>0</v>
      </c>
      <c r="K35" s="34">
        <f>SUBTOTAL(109,Transportation[September])</f>
        <v>0</v>
      </c>
      <c r="L35" s="36">
        <f>SUBTOTAL(109,Transportation[October])</f>
        <v>0</v>
      </c>
      <c r="M35" s="34">
        <f>SUBTOTAL(109,Transportation[November])</f>
        <v>0</v>
      </c>
      <c r="N35" s="36">
        <f>SUBTOTAL(109,Transportation[December])</f>
        <v>0</v>
      </c>
      <c r="O35" s="34">
        <f>SUBTOTAL(109,Transportation[Year])</f>
        <v>1156</v>
      </c>
      <c r="P35" s="49"/>
    </row>
    <row r="36" spans="1:16" ht="20.100000000000001" customHeight="1" x14ac:dyDescent="0.2"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</row>
    <row r="37" spans="1:16" ht="21" customHeight="1" x14ac:dyDescent="0.2">
      <c r="A37" s="12" t="s">
        <v>109</v>
      </c>
      <c r="B37" s="20" t="s">
        <v>61</v>
      </c>
      <c r="C37" s="39" t="s">
        <v>94</v>
      </c>
      <c r="D37" s="33" t="s">
        <v>95</v>
      </c>
      <c r="E37" s="39" t="s">
        <v>87</v>
      </c>
      <c r="F37" s="33" t="s">
        <v>88</v>
      </c>
      <c r="G37" s="39" t="s">
        <v>89</v>
      </c>
      <c r="H37" s="33" t="s">
        <v>90</v>
      </c>
      <c r="I37" s="39" t="s">
        <v>91</v>
      </c>
      <c r="J37" s="33" t="s">
        <v>96</v>
      </c>
      <c r="K37" s="39" t="s">
        <v>97</v>
      </c>
      <c r="L37" s="33" t="s">
        <v>98</v>
      </c>
      <c r="M37" s="39" t="s">
        <v>99</v>
      </c>
      <c r="N37" s="33" t="s">
        <v>100</v>
      </c>
      <c r="O37" s="39" t="s">
        <v>92</v>
      </c>
      <c r="P37" s="33" t="s">
        <v>101</v>
      </c>
    </row>
    <row r="38" spans="1:16" ht="15.95" customHeight="1" x14ac:dyDescent="0.2">
      <c r="B38" s="21" t="s">
        <v>15</v>
      </c>
      <c r="C38" s="40">
        <v>85</v>
      </c>
      <c r="D38" s="30">
        <v>85</v>
      </c>
      <c r="E38" s="40">
        <v>85</v>
      </c>
      <c r="F38" s="30"/>
      <c r="G38" s="40"/>
      <c r="H38" s="30"/>
      <c r="I38" s="40"/>
      <c r="J38" s="30"/>
      <c r="K38" s="40"/>
      <c r="L38" s="30"/>
      <c r="M38" s="40"/>
      <c r="N38" s="30"/>
      <c r="O38" s="40">
        <f>SUM(Entertainment[[#This Row],[January]:[December]])</f>
        <v>255</v>
      </c>
      <c r="P38" s="36"/>
    </row>
    <row r="39" spans="1:16" ht="15.95" customHeight="1" x14ac:dyDescent="0.2">
      <c r="A39" s="14"/>
      <c r="B39" s="21" t="s">
        <v>16</v>
      </c>
      <c r="C39" s="40">
        <v>7</v>
      </c>
      <c r="D39" s="30">
        <v>8</v>
      </c>
      <c r="E39" s="40">
        <v>9</v>
      </c>
      <c r="F39" s="30"/>
      <c r="G39" s="40"/>
      <c r="H39" s="30"/>
      <c r="I39" s="40"/>
      <c r="J39" s="30"/>
      <c r="K39" s="40"/>
      <c r="L39" s="30"/>
      <c r="M39" s="40"/>
      <c r="N39" s="30"/>
      <c r="O39" s="40">
        <f>SUM(Entertainment[[#This Row],[January]:[December]])</f>
        <v>24</v>
      </c>
      <c r="P39" s="30"/>
    </row>
    <row r="40" spans="1:16" ht="15.95" customHeight="1" x14ac:dyDescent="0.2">
      <c r="B40" s="21" t="s">
        <v>17</v>
      </c>
      <c r="C40" s="40">
        <v>9</v>
      </c>
      <c r="D40" s="30">
        <v>5</v>
      </c>
      <c r="E40" s="40">
        <v>9</v>
      </c>
      <c r="F40" s="30"/>
      <c r="G40" s="40"/>
      <c r="H40" s="30"/>
      <c r="I40" s="40"/>
      <c r="J40" s="30"/>
      <c r="K40" s="40"/>
      <c r="L40" s="30"/>
      <c r="M40" s="40"/>
      <c r="N40" s="30"/>
      <c r="O40" s="40">
        <f>SUM(Entertainment[[#This Row],[January]:[December]])</f>
        <v>23</v>
      </c>
      <c r="P40" s="36"/>
    </row>
    <row r="41" spans="1:16" ht="15.95" customHeight="1" x14ac:dyDescent="0.2">
      <c r="B41" s="21" t="s">
        <v>18</v>
      </c>
      <c r="C41" s="40">
        <v>5</v>
      </c>
      <c r="D41" s="30">
        <v>5</v>
      </c>
      <c r="E41" s="40">
        <v>7</v>
      </c>
      <c r="F41" s="30"/>
      <c r="G41" s="40"/>
      <c r="H41" s="30"/>
      <c r="I41" s="40"/>
      <c r="J41" s="30"/>
      <c r="K41" s="40"/>
      <c r="L41" s="30"/>
      <c r="M41" s="40"/>
      <c r="N41" s="30"/>
      <c r="O41" s="40">
        <f>SUM(Entertainment[[#This Row],[January]:[December]])</f>
        <v>17</v>
      </c>
      <c r="P41" s="30"/>
    </row>
    <row r="42" spans="1:16" ht="21" customHeight="1" x14ac:dyDescent="0.2">
      <c r="B42" s="50" t="s">
        <v>55</v>
      </c>
      <c r="C42" s="40">
        <f>SUBTOTAL(109,Entertainment[January])</f>
        <v>106</v>
      </c>
      <c r="D42" s="36">
        <f>SUBTOTAL(109,Entertainment[February])</f>
        <v>103</v>
      </c>
      <c r="E42" s="40">
        <f>SUBTOTAL(109,Entertainment[March])</f>
        <v>110</v>
      </c>
      <c r="F42" s="36">
        <f>SUBTOTAL(109,Entertainment[April])</f>
        <v>0</v>
      </c>
      <c r="G42" s="40">
        <f>SUBTOTAL(109,Entertainment[May])</f>
        <v>0</v>
      </c>
      <c r="H42" s="36">
        <f>SUBTOTAL(109,Entertainment[June])</f>
        <v>0</v>
      </c>
      <c r="I42" s="40">
        <f>SUBTOTAL(109,Entertainment[July])</f>
        <v>0</v>
      </c>
      <c r="J42" s="36">
        <f>SUBTOTAL(109,Entertainment[August])</f>
        <v>0</v>
      </c>
      <c r="K42" s="40">
        <f>SUBTOTAL(109,Entertainment[September])</f>
        <v>0</v>
      </c>
      <c r="L42" s="36">
        <f>SUBTOTAL(109,Entertainment[October])</f>
        <v>0</v>
      </c>
      <c r="M42" s="40">
        <f>SUBTOTAL(109,Entertainment[November])</f>
        <v>0</v>
      </c>
      <c r="N42" s="36">
        <f>SUBTOTAL(109,Entertainment[December])</f>
        <v>0</v>
      </c>
      <c r="O42" s="40">
        <f>SUBTOTAL(109,Entertainment[Year])</f>
        <v>319</v>
      </c>
      <c r="P42" s="49"/>
    </row>
    <row r="43" spans="1:16" ht="20.100000000000001" customHeight="1" x14ac:dyDescent="0.2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</row>
    <row r="44" spans="1:16" ht="21" customHeight="1" x14ac:dyDescent="0.2">
      <c r="A44" s="12" t="s">
        <v>110</v>
      </c>
      <c r="B44" s="20" t="s">
        <v>62</v>
      </c>
      <c r="C44" s="39" t="s">
        <v>94</v>
      </c>
      <c r="D44" s="33" t="s">
        <v>95</v>
      </c>
      <c r="E44" s="39" t="s">
        <v>87</v>
      </c>
      <c r="F44" s="33" t="s">
        <v>88</v>
      </c>
      <c r="G44" s="39" t="s">
        <v>89</v>
      </c>
      <c r="H44" s="33" t="s">
        <v>90</v>
      </c>
      <c r="I44" s="39" t="s">
        <v>91</v>
      </c>
      <c r="J44" s="33" t="s">
        <v>96</v>
      </c>
      <c r="K44" s="39" t="s">
        <v>97</v>
      </c>
      <c r="L44" s="33" t="s">
        <v>98</v>
      </c>
      <c r="M44" s="39" t="s">
        <v>99</v>
      </c>
      <c r="N44" s="33" t="s">
        <v>100</v>
      </c>
      <c r="O44" s="39" t="s">
        <v>92</v>
      </c>
      <c r="P44" s="33" t="s">
        <v>101</v>
      </c>
    </row>
    <row r="45" spans="1:16" ht="15.95" customHeight="1" x14ac:dyDescent="0.2">
      <c r="B45" s="21" t="s">
        <v>19</v>
      </c>
      <c r="C45" s="40">
        <v>50</v>
      </c>
      <c r="D45" s="30">
        <v>50</v>
      </c>
      <c r="E45" s="40">
        <v>50</v>
      </c>
      <c r="F45" s="30"/>
      <c r="G45" s="40"/>
      <c r="H45" s="30"/>
      <c r="I45" s="40"/>
      <c r="J45" s="30"/>
      <c r="K45" s="40"/>
      <c r="L45" s="30"/>
      <c r="M45" s="40"/>
      <c r="N45" s="30"/>
      <c r="O45" s="40">
        <f>SUM(Health[[#This Row],[January]:[December]])</f>
        <v>150</v>
      </c>
      <c r="P45" s="30"/>
    </row>
    <row r="46" spans="1:16" ht="15.95" customHeight="1" x14ac:dyDescent="0.2">
      <c r="B46" s="21" t="s">
        <v>10</v>
      </c>
      <c r="C46" s="40">
        <v>225</v>
      </c>
      <c r="D46" s="30">
        <v>225</v>
      </c>
      <c r="E46" s="40">
        <v>225</v>
      </c>
      <c r="F46" s="30"/>
      <c r="G46" s="40"/>
      <c r="H46" s="30"/>
      <c r="I46" s="40"/>
      <c r="J46" s="30"/>
      <c r="K46" s="40"/>
      <c r="L46" s="30"/>
      <c r="M46" s="40"/>
      <c r="N46" s="30"/>
      <c r="O46" s="40">
        <f>SUM(Health[[#This Row],[January]:[December]])</f>
        <v>675</v>
      </c>
      <c r="P46" s="36"/>
    </row>
    <row r="47" spans="1:16" ht="15.95" customHeight="1" x14ac:dyDescent="0.2">
      <c r="B47" s="21" t="s">
        <v>20</v>
      </c>
      <c r="C47" s="40">
        <v>100</v>
      </c>
      <c r="D47" s="30">
        <v>100</v>
      </c>
      <c r="E47" s="40">
        <v>100</v>
      </c>
      <c r="F47" s="30"/>
      <c r="G47" s="40"/>
      <c r="H47" s="30"/>
      <c r="I47" s="40"/>
      <c r="J47" s="30"/>
      <c r="K47" s="40"/>
      <c r="L47" s="30"/>
      <c r="M47" s="40"/>
      <c r="N47" s="30"/>
      <c r="O47" s="40">
        <f>SUM(Health[[#This Row],[January]:[December]])</f>
        <v>300</v>
      </c>
      <c r="P47" s="30"/>
    </row>
    <row r="48" spans="1:16" ht="15.95" customHeight="1" x14ac:dyDescent="0.2">
      <c r="A48" s="14"/>
      <c r="B48" s="21" t="s">
        <v>21</v>
      </c>
      <c r="C48" s="40">
        <v>6</v>
      </c>
      <c r="D48" s="30">
        <v>2</v>
      </c>
      <c r="E48" s="40">
        <v>9</v>
      </c>
      <c r="F48" s="30"/>
      <c r="G48" s="40"/>
      <c r="H48" s="30"/>
      <c r="I48" s="40"/>
      <c r="J48" s="30"/>
      <c r="K48" s="40"/>
      <c r="L48" s="30"/>
      <c r="M48" s="40"/>
      <c r="N48" s="30"/>
      <c r="O48" s="40">
        <f>SUM(Health[[#This Row],[January]:[December]])</f>
        <v>17</v>
      </c>
      <c r="P48" s="36"/>
    </row>
    <row r="49" spans="1:16" ht="15.95" customHeight="1" x14ac:dyDescent="0.2">
      <c r="B49" s="21" t="s">
        <v>22</v>
      </c>
      <c r="C49" s="40">
        <v>20</v>
      </c>
      <c r="D49" s="30"/>
      <c r="E49" s="40">
        <v>41</v>
      </c>
      <c r="F49" s="30"/>
      <c r="G49" s="40"/>
      <c r="H49" s="30"/>
      <c r="I49" s="40"/>
      <c r="J49" s="30"/>
      <c r="K49" s="40"/>
      <c r="L49" s="30"/>
      <c r="M49" s="40"/>
      <c r="N49" s="30"/>
      <c r="O49" s="40">
        <f>SUM(Health[[#This Row],[January]:[December]])</f>
        <v>61</v>
      </c>
      <c r="P49" s="30"/>
    </row>
    <row r="50" spans="1:16" ht="15.95" customHeight="1" x14ac:dyDescent="0.2">
      <c r="B50" s="21" t="s">
        <v>23</v>
      </c>
      <c r="C50" s="40">
        <v>4</v>
      </c>
      <c r="D50" s="30"/>
      <c r="E50" s="40">
        <v>25</v>
      </c>
      <c r="F50" s="30"/>
      <c r="G50" s="40"/>
      <c r="H50" s="30"/>
      <c r="I50" s="40"/>
      <c r="J50" s="30"/>
      <c r="K50" s="40"/>
      <c r="L50" s="30"/>
      <c r="M50" s="40"/>
      <c r="N50" s="30"/>
      <c r="O50" s="40">
        <f>SUM(Health[[#This Row],[January]:[December]])</f>
        <v>29</v>
      </c>
      <c r="P50" s="36"/>
    </row>
    <row r="51" spans="1:16" ht="15.95" customHeight="1" x14ac:dyDescent="0.2">
      <c r="B51" s="21" t="s">
        <v>24</v>
      </c>
      <c r="C51" s="40">
        <v>55</v>
      </c>
      <c r="D51" s="30">
        <v>55</v>
      </c>
      <c r="E51" s="40">
        <v>55</v>
      </c>
      <c r="F51" s="30"/>
      <c r="G51" s="40"/>
      <c r="H51" s="30"/>
      <c r="I51" s="40"/>
      <c r="J51" s="30"/>
      <c r="K51" s="40"/>
      <c r="L51" s="30"/>
      <c r="M51" s="40"/>
      <c r="N51" s="30"/>
      <c r="O51" s="40">
        <f>SUM(Health[[#This Row],[January]:[December]])</f>
        <v>165</v>
      </c>
      <c r="P51" s="30"/>
    </row>
    <row r="52" spans="1:16" ht="21" customHeight="1" x14ac:dyDescent="0.2">
      <c r="B52" s="50" t="s">
        <v>55</v>
      </c>
      <c r="C52" s="40">
        <f>SUBTOTAL(109,Health[January])</f>
        <v>460</v>
      </c>
      <c r="D52" s="36">
        <f>SUBTOTAL(109,Health[February])</f>
        <v>432</v>
      </c>
      <c r="E52" s="40">
        <f>SUBTOTAL(109,Health[March])</f>
        <v>505</v>
      </c>
      <c r="F52" s="36">
        <f>SUBTOTAL(109,Health[April])</f>
        <v>0</v>
      </c>
      <c r="G52" s="40">
        <f>SUBTOTAL(109,Health[May])</f>
        <v>0</v>
      </c>
      <c r="H52" s="36">
        <f>SUBTOTAL(109,Health[June])</f>
        <v>0</v>
      </c>
      <c r="I52" s="40">
        <f>SUBTOTAL(109,Health[July])</f>
        <v>0</v>
      </c>
      <c r="J52" s="36">
        <f>SUBTOTAL(109,Health[August])</f>
        <v>0</v>
      </c>
      <c r="K52" s="40">
        <f>SUBTOTAL(109,Health[September])</f>
        <v>0</v>
      </c>
      <c r="L52" s="36">
        <f>SUBTOTAL(109,Health[October])</f>
        <v>0</v>
      </c>
      <c r="M52" s="40">
        <f>SUBTOTAL(109,Health[November])</f>
        <v>0</v>
      </c>
      <c r="N52" s="36">
        <f>SUBTOTAL(109,Health[December])</f>
        <v>0</v>
      </c>
      <c r="O52" s="40">
        <f>SUBTOTAL(109,Health[Year])</f>
        <v>1397</v>
      </c>
      <c r="P52" s="49"/>
    </row>
    <row r="53" spans="1:16" ht="20.100000000000001" customHeight="1" x14ac:dyDescent="0.2"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</row>
    <row r="54" spans="1:16" ht="21" customHeight="1" x14ac:dyDescent="0.2">
      <c r="A54" s="12" t="s">
        <v>111</v>
      </c>
      <c r="B54" s="22" t="s">
        <v>63</v>
      </c>
      <c r="C54" s="51" t="s">
        <v>94</v>
      </c>
      <c r="D54" s="33" t="s">
        <v>95</v>
      </c>
      <c r="E54" s="25" t="s">
        <v>87</v>
      </c>
      <c r="F54" s="33" t="s">
        <v>88</v>
      </c>
      <c r="G54" s="25" t="s">
        <v>89</v>
      </c>
      <c r="H54" s="33" t="s">
        <v>90</v>
      </c>
      <c r="I54" s="25" t="s">
        <v>91</v>
      </c>
      <c r="J54" s="33" t="s">
        <v>96</v>
      </c>
      <c r="K54" s="25" t="s">
        <v>97</v>
      </c>
      <c r="L54" s="33" t="s">
        <v>98</v>
      </c>
      <c r="M54" s="25" t="s">
        <v>99</v>
      </c>
      <c r="N54" s="33" t="s">
        <v>100</v>
      </c>
      <c r="O54" s="25" t="s">
        <v>92</v>
      </c>
      <c r="P54" s="33" t="s">
        <v>101</v>
      </c>
    </row>
    <row r="55" spans="1:16" ht="15.95" customHeight="1" x14ac:dyDescent="0.2">
      <c r="B55" s="23" t="s">
        <v>25</v>
      </c>
      <c r="C55" s="26"/>
      <c r="D55" s="30">
        <v>485</v>
      </c>
      <c r="E55" s="26"/>
      <c r="F55" s="30"/>
      <c r="G55" s="26"/>
      <c r="H55" s="30"/>
      <c r="I55" s="26"/>
      <c r="J55" s="30"/>
      <c r="K55" s="26"/>
      <c r="L55" s="30"/>
      <c r="M55" s="26"/>
      <c r="N55" s="30"/>
      <c r="O55" s="26">
        <f>SUM(Vacations[[#This Row],[January]:[December]])</f>
        <v>485</v>
      </c>
      <c r="P55" s="36"/>
    </row>
    <row r="56" spans="1:16" ht="15.95" customHeight="1" x14ac:dyDescent="0.2">
      <c r="B56" s="23" t="s">
        <v>26</v>
      </c>
      <c r="C56" s="26"/>
      <c r="D56" s="30">
        <v>245</v>
      </c>
      <c r="E56" s="26"/>
      <c r="F56" s="30"/>
      <c r="G56" s="26"/>
      <c r="H56" s="30"/>
      <c r="I56" s="26"/>
      <c r="J56" s="30"/>
      <c r="K56" s="26"/>
      <c r="L56" s="30"/>
      <c r="M56" s="26"/>
      <c r="N56" s="30"/>
      <c r="O56" s="26">
        <f>SUM(Vacations[[#This Row],[January]:[December]])</f>
        <v>245</v>
      </c>
      <c r="P56" s="30"/>
    </row>
    <row r="57" spans="1:16" ht="15.95" customHeight="1" x14ac:dyDescent="0.2">
      <c r="B57" s="23" t="s">
        <v>27</v>
      </c>
      <c r="C57" s="26"/>
      <c r="D57" s="30">
        <v>95</v>
      </c>
      <c r="E57" s="26"/>
      <c r="F57" s="30"/>
      <c r="G57" s="26"/>
      <c r="H57" s="30"/>
      <c r="I57" s="26"/>
      <c r="J57" s="30"/>
      <c r="K57" s="26"/>
      <c r="L57" s="30"/>
      <c r="M57" s="26"/>
      <c r="N57" s="30"/>
      <c r="O57" s="26">
        <f>SUM(Vacations[[#This Row],[January]:[December]])</f>
        <v>95</v>
      </c>
      <c r="P57" s="36"/>
    </row>
    <row r="58" spans="1:16" ht="15.95" customHeight="1" x14ac:dyDescent="0.2">
      <c r="B58" s="23" t="s">
        <v>28</v>
      </c>
      <c r="C58" s="26"/>
      <c r="D58" s="30"/>
      <c r="E58" s="26"/>
      <c r="F58" s="30"/>
      <c r="G58" s="26"/>
      <c r="H58" s="30"/>
      <c r="I58" s="26"/>
      <c r="J58" s="30"/>
      <c r="K58" s="26"/>
      <c r="L58" s="30"/>
      <c r="M58" s="26"/>
      <c r="N58" s="30"/>
      <c r="O58" s="26">
        <f>SUM(Vacations[[#This Row],[January]:[December]])</f>
        <v>0</v>
      </c>
      <c r="P58" s="30"/>
    </row>
    <row r="59" spans="1:16" ht="15.95" customHeight="1" x14ac:dyDescent="0.2">
      <c r="B59" s="23" t="s">
        <v>29</v>
      </c>
      <c r="C59" s="26"/>
      <c r="D59" s="30"/>
      <c r="E59" s="26"/>
      <c r="F59" s="30"/>
      <c r="G59" s="26"/>
      <c r="H59" s="30"/>
      <c r="I59" s="26"/>
      <c r="J59" s="30"/>
      <c r="K59" s="26"/>
      <c r="L59" s="30"/>
      <c r="M59" s="26"/>
      <c r="N59" s="30"/>
      <c r="O59" s="26">
        <f>SUM(Vacations[[#This Row],[January]:[December]])</f>
        <v>0</v>
      </c>
      <c r="P59" s="36"/>
    </row>
    <row r="60" spans="1:16" ht="15.95" customHeight="1" x14ac:dyDescent="0.2">
      <c r="B60" s="23" t="s">
        <v>30</v>
      </c>
      <c r="C60" s="26"/>
      <c r="D60" s="30">
        <v>85</v>
      </c>
      <c r="E60" s="26"/>
      <c r="F60" s="30"/>
      <c r="G60" s="26"/>
      <c r="H60" s="30"/>
      <c r="I60" s="26"/>
      <c r="J60" s="30"/>
      <c r="K60" s="26"/>
      <c r="L60" s="30"/>
      <c r="M60" s="26"/>
      <c r="N60" s="30"/>
      <c r="O60" s="26">
        <f>SUM(Vacations[[#This Row],[January]:[December]])</f>
        <v>85</v>
      </c>
      <c r="P60" s="30"/>
    </row>
    <row r="61" spans="1:16" ht="21" customHeight="1" x14ac:dyDescent="0.2">
      <c r="B61" s="52" t="s">
        <v>55</v>
      </c>
      <c r="C61" s="26">
        <f>SUBTOTAL(109,Vacations[January])</f>
        <v>0</v>
      </c>
      <c r="D61" s="36">
        <f>SUBTOTAL(109,Vacations[February])</f>
        <v>910</v>
      </c>
      <c r="E61" s="26">
        <f>SUBTOTAL(109,Vacations[March])</f>
        <v>0</v>
      </c>
      <c r="F61" s="36">
        <f>SUBTOTAL(109,Vacations[April])</f>
        <v>0</v>
      </c>
      <c r="G61" s="26">
        <f>SUBTOTAL(109,Vacations[May])</f>
        <v>0</v>
      </c>
      <c r="H61" s="36">
        <f>SUBTOTAL(109,Vacations[June])</f>
        <v>0</v>
      </c>
      <c r="I61" s="26">
        <f>SUBTOTAL(109,Vacations[July])</f>
        <v>0</v>
      </c>
      <c r="J61" s="36">
        <f>SUBTOTAL(109,Vacations[August])</f>
        <v>0</v>
      </c>
      <c r="K61" s="26">
        <f>SUBTOTAL(109,Vacations[September])</f>
        <v>0</v>
      </c>
      <c r="L61" s="36">
        <f>SUBTOTAL(109,Vacations[October])</f>
        <v>0</v>
      </c>
      <c r="M61" s="26">
        <f>SUBTOTAL(109,Vacations[November])</f>
        <v>0</v>
      </c>
      <c r="N61" s="36">
        <f>SUBTOTAL(109,Vacations[December])</f>
        <v>0</v>
      </c>
      <c r="O61" s="26">
        <f>SUBTOTAL(109,Vacations[Year])</f>
        <v>910</v>
      </c>
      <c r="P61" s="49"/>
    </row>
    <row r="62" spans="1:16" ht="20.100000000000001" customHeight="1" x14ac:dyDescent="0.2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</row>
    <row r="63" spans="1:16" ht="21" customHeight="1" x14ac:dyDescent="0.2">
      <c r="A63" s="12" t="s">
        <v>112</v>
      </c>
      <c r="B63" s="24" t="s">
        <v>64</v>
      </c>
      <c r="C63" s="28" t="s">
        <v>94</v>
      </c>
      <c r="D63" s="29" t="s">
        <v>95</v>
      </c>
      <c r="E63" s="28" t="s">
        <v>87</v>
      </c>
      <c r="F63" s="29" t="s">
        <v>88</v>
      </c>
      <c r="G63" s="28" t="s">
        <v>89</v>
      </c>
      <c r="H63" s="29" t="s">
        <v>90</v>
      </c>
      <c r="I63" s="28" t="s">
        <v>91</v>
      </c>
      <c r="J63" s="29" t="s">
        <v>96</v>
      </c>
      <c r="K63" s="28" t="s">
        <v>97</v>
      </c>
      <c r="L63" s="29" t="s">
        <v>98</v>
      </c>
      <c r="M63" s="28" t="s">
        <v>99</v>
      </c>
      <c r="N63" s="29" t="s">
        <v>100</v>
      </c>
      <c r="O63" s="28" t="s">
        <v>92</v>
      </c>
      <c r="P63" s="29" t="s">
        <v>101</v>
      </c>
    </row>
    <row r="64" spans="1:16" ht="15.95" customHeight="1" x14ac:dyDescent="0.2">
      <c r="B64" s="23" t="s">
        <v>31</v>
      </c>
      <c r="C64" s="26"/>
      <c r="D64" s="30"/>
      <c r="E64" s="26"/>
      <c r="F64" s="30"/>
      <c r="G64" s="26"/>
      <c r="H64" s="30"/>
      <c r="I64" s="26"/>
      <c r="J64" s="30"/>
      <c r="K64" s="26"/>
      <c r="L64" s="30"/>
      <c r="M64" s="26"/>
      <c r="N64" s="30"/>
      <c r="O64" s="26">
        <f>SUM(Recreation[[#This Row],[January]:[December]])</f>
        <v>0</v>
      </c>
      <c r="P64" s="36"/>
    </row>
    <row r="65" spans="1:16" ht="15.95" customHeight="1" x14ac:dyDescent="0.2">
      <c r="B65" s="23" t="s">
        <v>32</v>
      </c>
      <c r="C65" s="26"/>
      <c r="D65" s="30"/>
      <c r="E65" s="26"/>
      <c r="F65" s="30"/>
      <c r="G65" s="26"/>
      <c r="H65" s="30"/>
      <c r="I65" s="26"/>
      <c r="J65" s="30"/>
      <c r="K65" s="26"/>
      <c r="L65" s="30"/>
      <c r="M65" s="26"/>
      <c r="N65" s="30"/>
      <c r="O65" s="26">
        <f>SUM(Recreation[[#This Row],[January]:[December]])</f>
        <v>0</v>
      </c>
      <c r="P65" s="30"/>
    </row>
    <row r="66" spans="1:16" ht="15.95" customHeight="1" x14ac:dyDescent="0.2">
      <c r="B66" s="23" t="s">
        <v>33</v>
      </c>
      <c r="C66" s="26"/>
      <c r="D66" s="30"/>
      <c r="E66" s="26"/>
      <c r="F66" s="30"/>
      <c r="G66" s="26"/>
      <c r="H66" s="30"/>
      <c r="I66" s="26"/>
      <c r="J66" s="30"/>
      <c r="K66" s="26"/>
      <c r="L66" s="30"/>
      <c r="M66" s="26"/>
      <c r="N66" s="30"/>
      <c r="O66" s="26">
        <f>SUM(Recreation[[#This Row],[January]:[December]])</f>
        <v>0</v>
      </c>
      <c r="P66" s="36"/>
    </row>
    <row r="67" spans="1:16" ht="15.95" customHeight="1" x14ac:dyDescent="0.2">
      <c r="B67" s="23" t="s">
        <v>34</v>
      </c>
      <c r="C67" s="26">
        <v>39</v>
      </c>
      <c r="D67" s="30">
        <v>33</v>
      </c>
      <c r="E67" s="26">
        <v>40</v>
      </c>
      <c r="F67" s="30"/>
      <c r="G67" s="26"/>
      <c r="H67" s="30"/>
      <c r="I67" s="26"/>
      <c r="J67" s="30"/>
      <c r="K67" s="26"/>
      <c r="L67" s="30"/>
      <c r="M67" s="26"/>
      <c r="N67" s="30"/>
      <c r="O67" s="26">
        <f>SUM(Recreation[[#This Row],[January]:[December]])</f>
        <v>112</v>
      </c>
      <c r="P67" s="30"/>
    </row>
    <row r="68" spans="1:16" ht="21" customHeight="1" x14ac:dyDescent="0.2">
      <c r="B68" s="52" t="s">
        <v>55</v>
      </c>
      <c r="C68" s="26">
        <f>SUBTOTAL(109,Recreation[January])</f>
        <v>39</v>
      </c>
      <c r="D68" s="36">
        <f>SUBTOTAL(109,Recreation[February])</f>
        <v>33</v>
      </c>
      <c r="E68" s="26">
        <f>SUBTOTAL(109,Recreation[March])</f>
        <v>40</v>
      </c>
      <c r="F68" s="36">
        <f>SUBTOTAL(109,Recreation[April])</f>
        <v>0</v>
      </c>
      <c r="G68" s="26">
        <f>SUBTOTAL(109,Recreation[May])</f>
        <v>0</v>
      </c>
      <c r="H68" s="36">
        <f>SUBTOTAL(109,Recreation[June])</f>
        <v>0</v>
      </c>
      <c r="I68" s="26">
        <f>SUBTOTAL(109,Recreation[July])</f>
        <v>0</v>
      </c>
      <c r="J68" s="36">
        <f>SUBTOTAL(109,Recreation[August])</f>
        <v>0</v>
      </c>
      <c r="K68" s="26">
        <f>SUBTOTAL(109,Recreation[September])</f>
        <v>0</v>
      </c>
      <c r="L68" s="36">
        <f>SUBTOTAL(109,Recreation[October])</f>
        <v>0</v>
      </c>
      <c r="M68" s="26">
        <f>SUBTOTAL(109,Recreation[November])</f>
        <v>0</v>
      </c>
      <c r="N68" s="36">
        <f>SUBTOTAL(109,Recreation[December])</f>
        <v>0</v>
      </c>
      <c r="O68" s="26">
        <f>SUBTOTAL(109,Recreation[Year])</f>
        <v>112</v>
      </c>
      <c r="P68" s="49"/>
    </row>
    <row r="69" spans="1:16" ht="20.100000000000001" customHeight="1" x14ac:dyDescent="0.2"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</row>
    <row r="70" spans="1:16" ht="21" customHeight="1" x14ac:dyDescent="0.2">
      <c r="A70" s="12" t="s">
        <v>113</v>
      </c>
      <c r="B70" s="24" t="s">
        <v>65</v>
      </c>
      <c r="C70" s="28" t="s">
        <v>94</v>
      </c>
      <c r="D70" s="29" t="s">
        <v>95</v>
      </c>
      <c r="E70" s="28" t="s">
        <v>87</v>
      </c>
      <c r="F70" s="29" t="s">
        <v>88</v>
      </c>
      <c r="G70" s="28" t="s">
        <v>89</v>
      </c>
      <c r="H70" s="29" t="s">
        <v>90</v>
      </c>
      <c r="I70" s="28" t="s">
        <v>91</v>
      </c>
      <c r="J70" s="29" t="s">
        <v>96</v>
      </c>
      <c r="K70" s="28" t="s">
        <v>97</v>
      </c>
      <c r="L70" s="29" t="s">
        <v>98</v>
      </c>
      <c r="M70" s="28" t="s">
        <v>99</v>
      </c>
      <c r="N70" s="29" t="s">
        <v>100</v>
      </c>
      <c r="O70" s="28" t="s">
        <v>92</v>
      </c>
      <c r="P70" s="29" t="s">
        <v>101</v>
      </c>
    </row>
    <row r="71" spans="1:16" ht="15.95" customHeight="1" x14ac:dyDescent="0.2">
      <c r="B71" s="23" t="s">
        <v>35</v>
      </c>
      <c r="C71" s="26"/>
      <c r="D71" s="30"/>
      <c r="E71" s="26"/>
      <c r="F71" s="30"/>
      <c r="G71" s="26"/>
      <c r="H71" s="30"/>
      <c r="I71" s="26"/>
      <c r="J71" s="30"/>
      <c r="K71" s="26"/>
      <c r="L71" s="30"/>
      <c r="M71" s="26"/>
      <c r="N71" s="30"/>
      <c r="O71" s="26">
        <f>SUM(DuesAndSubscription[[#This Row],[January]:[December]])</f>
        <v>0</v>
      </c>
      <c r="P71" s="30"/>
    </row>
    <row r="72" spans="1:16" ht="15.95" customHeight="1" x14ac:dyDescent="0.2">
      <c r="B72" s="23" t="s">
        <v>36</v>
      </c>
      <c r="C72" s="26"/>
      <c r="D72" s="30"/>
      <c r="E72" s="26"/>
      <c r="F72" s="30"/>
      <c r="G72" s="26"/>
      <c r="H72" s="30"/>
      <c r="I72" s="26"/>
      <c r="J72" s="30"/>
      <c r="K72" s="26"/>
      <c r="L72" s="30"/>
      <c r="M72" s="26"/>
      <c r="N72" s="30"/>
      <c r="O72" s="26">
        <f>SUM(DuesAndSubscription[[#This Row],[January]:[December]])</f>
        <v>0</v>
      </c>
      <c r="P72" s="36"/>
    </row>
    <row r="73" spans="1:16" ht="15.95" customHeight="1" x14ac:dyDescent="0.2">
      <c r="B73" s="23" t="s">
        <v>37</v>
      </c>
      <c r="C73" s="26"/>
      <c r="D73" s="30"/>
      <c r="E73" s="26"/>
      <c r="F73" s="30"/>
      <c r="G73" s="26"/>
      <c r="H73" s="30"/>
      <c r="I73" s="26"/>
      <c r="J73" s="30"/>
      <c r="K73" s="26"/>
      <c r="L73" s="30"/>
      <c r="M73" s="26"/>
      <c r="N73" s="30"/>
      <c r="O73" s="26">
        <f>SUM(DuesAndSubscription[[#This Row],[January]:[December]])</f>
        <v>0</v>
      </c>
      <c r="P73" s="30"/>
    </row>
    <row r="74" spans="1:16" ht="15.95" customHeight="1" x14ac:dyDescent="0.2">
      <c r="B74" s="23" t="s">
        <v>38</v>
      </c>
      <c r="C74" s="26"/>
      <c r="D74" s="30"/>
      <c r="E74" s="26"/>
      <c r="F74" s="30"/>
      <c r="G74" s="26"/>
      <c r="H74" s="30"/>
      <c r="I74" s="26"/>
      <c r="J74" s="30"/>
      <c r="K74" s="26"/>
      <c r="L74" s="30"/>
      <c r="M74" s="26"/>
      <c r="N74" s="30"/>
      <c r="O74" s="26">
        <f>SUM(DuesAndSubscription[[#This Row],[January]:[December]])</f>
        <v>0</v>
      </c>
      <c r="P74" s="36"/>
    </row>
    <row r="75" spans="1:16" ht="15.95" customHeight="1" x14ac:dyDescent="0.2">
      <c r="B75" s="23" t="s">
        <v>39</v>
      </c>
      <c r="C75" s="26"/>
      <c r="D75" s="30"/>
      <c r="E75" s="26"/>
      <c r="F75" s="30"/>
      <c r="G75" s="26"/>
      <c r="H75" s="30"/>
      <c r="I75" s="26"/>
      <c r="J75" s="30"/>
      <c r="K75" s="26"/>
      <c r="L75" s="30"/>
      <c r="M75" s="26"/>
      <c r="N75" s="30"/>
      <c r="O75" s="26">
        <f>SUM(DuesAndSubscription[[#This Row],[January]:[December]])</f>
        <v>0</v>
      </c>
      <c r="P75" s="30"/>
    </row>
    <row r="76" spans="1:16" ht="15.95" customHeight="1" x14ac:dyDescent="0.2">
      <c r="B76" s="23" t="s">
        <v>40</v>
      </c>
      <c r="C76" s="26">
        <v>29</v>
      </c>
      <c r="D76" s="30">
        <v>18</v>
      </c>
      <c r="E76" s="26">
        <v>17</v>
      </c>
      <c r="F76" s="30"/>
      <c r="G76" s="26"/>
      <c r="H76" s="30"/>
      <c r="I76" s="26"/>
      <c r="J76" s="30"/>
      <c r="K76" s="26"/>
      <c r="L76" s="30"/>
      <c r="M76" s="26"/>
      <c r="N76" s="30"/>
      <c r="O76" s="26">
        <f>SUM(DuesAndSubscription[[#This Row],[January]:[December]])</f>
        <v>64</v>
      </c>
      <c r="P76" s="36"/>
    </row>
    <row r="77" spans="1:16" ht="15.95" customHeight="1" x14ac:dyDescent="0.2">
      <c r="B77" s="23" t="s">
        <v>41</v>
      </c>
      <c r="C77" s="26"/>
      <c r="D77" s="30"/>
      <c r="E77" s="26"/>
      <c r="F77" s="30"/>
      <c r="G77" s="26"/>
      <c r="H77" s="30"/>
      <c r="I77" s="26"/>
      <c r="J77" s="30"/>
      <c r="K77" s="26"/>
      <c r="L77" s="30"/>
      <c r="M77" s="26"/>
      <c r="N77" s="30"/>
      <c r="O77" s="26">
        <f>SUM(DuesAndSubscription[[#This Row],[January]:[December]])</f>
        <v>0</v>
      </c>
      <c r="P77" s="30"/>
    </row>
    <row r="78" spans="1:16" ht="21" customHeight="1" thickBot="1" x14ac:dyDescent="0.25">
      <c r="B78" s="52" t="s">
        <v>55</v>
      </c>
      <c r="C78" s="27">
        <f>SUBTOTAL(109,DuesAndSubscription[January])</f>
        <v>29</v>
      </c>
      <c r="D78" s="10">
        <f>SUBTOTAL(109,DuesAndSubscription[February])</f>
        <v>18</v>
      </c>
      <c r="E78" s="27">
        <f>SUBTOTAL(109,DuesAndSubscription[March])</f>
        <v>17</v>
      </c>
      <c r="F78" s="10">
        <f>SUBTOTAL(109,DuesAndSubscription[April])</f>
        <v>0</v>
      </c>
      <c r="G78" s="27">
        <f>SUBTOTAL(109,DuesAndSubscription[May])</f>
        <v>0</v>
      </c>
      <c r="H78" s="10">
        <f>SUBTOTAL(109,DuesAndSubscription[June])</f>
        <v>0</v>
      </c>
      <c r="I78" s="27">
        <f>SUBTOTAL(109,DuesAndSubscription[July])</f>
        <v>0</v>
      </c>
      <c r="J78" s="10">
        <f>SUBTOTAL(109,DuesAndSubscription[August])</f>
        <v>0</v>
      </c>
      <c r="K78" s="27">
        <f>SUBTOTAL(109,DuesAndSubscription[September])</f>
        <v>0</v>
      </c>
      <c r="L78" s="10">
        <f>SUBTOTAL(109,DuesAndSubscription[October])</f>
        <v>0</v>
      </c>
      <c r="M78" s="27">
        <f>SUBTOTAL(109,DuesAndSubscription[November])</f>
        <v>0</v>
      </c>
      <c r="N78" s="10">
        <f>SUBTOTAL(109,DuesAndSubscription[December])</f>
        <v>0</v>
      </c>
      <c r="O78" s="27">
        <f>SUBTOTAL(109,DuesAndSubscription[Year])</f>
        <v>64</v>
      </c>
      <c r="P78" s="11"/>
    </row>
    <row r="79" spans="1:16" ht="20.100000000000001" customHeight="1" thickTop="1" x14ac:dyDescent="0.2"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</row>
    <row r="80" spans="1:16" ht="21" customHeight="1" x14ac:dyDescent="0.2">
      <c r="A80" s="12" t="s">
        <v>114</v>
      </c>
      <c r="B80" s="24" t="s">
        <v>66</v>
      </c>
      <c r="C80" s="28" t="s">
        <v>94</v>
      </c>
      <c r="D80" s="29" t="s">
        <v>95</v>
      </c>
      <c r="E80" s="28" t="s">
        <v>87</v>
      </c>
      <c r="F80" s="29" t="s">
        <v>88</v>
      </c>
      <c r="G80" s="28" t="s">
        <v>89</v>
      </c>
      <c r="H80" s="29" t="s">
        <v>90</v>
      </c>
      <c r="I80" s="28" t="s">
        <v>91</v>
      </c>
      <c r="J80" s="29" t="s">
        <v>96</v>
      </c>
      <c r="K80" s="28" t="s">
        <v>97</v>
      </c>
      <c r="L80" s="29" t="s">
        <v>98</v>
      </c>
      <c r="M80" s="28" t="s">
        <v>99</v>
      </c>
      <c r="N80" s="29" t="s">
        <v>100</v>
      </c>
      <c r="O80" s="28" t="s">
        <v>92</v>
      </c>
      <c r="P80" s="29" t="s">
        <v>101</v>
      </c>
    </row>
    <row r="81" spans="1:16" ht="15.95" customHeight="1" x14ac:dyDescent="0.2">
      <c r="B81" s="23" t="s">
        <v>42</v>
      </c>
      <c r="C81" s="26"/>
      <c r="D81" s="30"/>
      <c r="E81" s="26">
        <v>29</v>
      </c>
      <c r="F81" s="30"/>
      <c r="G81" s="26"/>
      <c r="H81" s="30"/>
      <c r="I81" s="26"/>
      <c r="J81" s="30"/>
      <c r="K81" s="26"/>
      <c r="L81" s="30"/>
      <c r="M81" s="26"/>
      <c r="N81" s="30"/>
      <c r="O81" s="26">
        <f>SUM(Personal[[#This Row],[January]:[December]])</f>
        <v>29</v>
      </c>
      <c r="P81" s="30"/>
    </row>
    <row r="82" spans="1:16" ht="15.95" customHeight="1" x14ac:dyDescent="0.2">
      <c r="B82" s="23" t="s">
        <v>43</v>
      </c>
      <c r="C82" s="26"/>
      <c r="D82" s="30">
        <v>35</v>
      </c>
      <c r="E82" s="26"/>
      <c r="F82" s="30"/>
      <c r="G82" s="26"/>
      <c r="H82" s="30"/>
      <c r="I82" s="26"/>
      <c r="J82" s="30"/>
      <c r="K82" s="26"/>
      <c r="L82" s="30"/>
      <c r="M82" s="26"/>
      <c r="N82" s="30"/>
      <c r="O82" s="26">
        <f>SUM(Personal[[#This Row],[January]:[December]])</f>
        <v>35</v>
      </c>
      <c r="P82" s="36"/>
    </row>
    <row r="83" spans="1:16" ht="15.95" customHeight="1" x14ac:dyDescent="0.2">
      <c r="B83" s="23" t="s">
        <v>44</v>
      </c>
      <c r="C83" s="26">
        <v>25</v>
      </c>
      <c r="D83" s="30">
        <v>25</v>
      </c>
      <c r="E83" s="26">
        <v>25</v>
      </c>
      <c r="F83" s="30"/>
      <c r="G83" s="26"/>
      <c r="H83" s="30"/>
      <c r="I83" s="26"/>
      <c r="J83" s="30"/>
      <c r="K83" s="26"/>
      <c r="L83" s="30"/>
      <c r="M83" s="26"/>
      <c r="N83" s="30"/>
      <c r="O83" s="26">
        <f>SUM(Personal[[#This Row],[January]:[December]])</f>
        <v>75</v>
      </c>
      <c r="P83" s="30"/>
    </row>
    <row r="84" spans="1:16" ht="15.95" customHeight="1" x14ac:dyDescent="0.2">
      <c r="B84" s="23" t="s">
        <v>45</v>
      </c>
      <c r="C84" s="26"/>
      <c r="D84" s="30"/>
      <c r="E84" s="26"/>
      <c r="F84" s="30"/>
      <c r="G84" s="26"/>
      <c r="H84" s="30"/>
      <c r="I84" s="26"/>
      <c r="J84" s="30"/>
      <c r="K84" s="26"/>
      <c r="L84" s="30"/>
      <c r="M84" s="26"/>
      <c r="N84" s="30"/>
      <c r="O84" s="26">
        <f>SUM(Personal[[#This Row],[January]:[December]])</f>
        <v>0</v>
      </c>
      <c r="P84" s="36"/>
    </row>
    <row r="85" spans="1:16" ht="15.95" customHeight="1" x14ac:dyDescent="0.2">
      <c r="B85" s="23" t="s">
        <v>46</v>
      </c>
      <c r="C85" s="26"/>
      <c r="D85" s="30"/>
      <c r="E85" s="26"/>
      <c r="F85" s="30"/>
      <c r="G85" s="26"/>
      <c r="H85" s="30"/>
      <c r="I85" s="26"/>
      <c r="J85" s="30"/>
      <c r="K85" s="26"/>
      <c r="L85" s="30"/>
      <c r="M85" s="26"/>
      <c r="N85" s="30"/>
      <c r="O85" s="26">
        <f>SUM(Personal[[#This Row],[January]:[December]])</f>
        <v>0</v>
      </c>
      <c r="P85" s="30"/>
    </row>
    <row r="86" spans="1:16" ht="21" customHeight="1" x14ac:dyDescent="0.2">
      <c r="B86" s="52" t="s">
        <v>55</v>
      </c>
      <c r="C86" s="26">
        <f>SUBTOTAL(109,Personal[January])</f>
        <v>25</v>
      </c>
      <c r="D86" s="36">
        <f>SUBTOTAL(109,Personal[February])</f>
        <v>60</v>
      </c>
      <c r="E86" s="26">
        <f>SUBTOTAL(109,Personal[March])</f>
        <v>54</v>
      </c>
      <c r="F86" s="36">
        <f>SUBTOTAL(109,Personal[April])</f>
        <v>0</v>
      </c>
      <c r="G86" s="26">
        <f>SUBTOTAL(109,Personal[May])</f>
        <v>0</v>
      </c>
      <c r="H86" s="36">
        <f>SUBTOTAL(109,Personal[June])</f>
        <v>0</v>
      </c>
      <c r="I86" s="26">
        <f>SUBTOTAL(109,Personal[July])</f>
        <v>0</v>
      </c>
      <c r="J86" s="36">
        <f>SUBTOTAL(109,Personal[August])</f>
        <v>0</v>
      </c>
      <c r="K86" s="26">
        <f>SUBTOTAL(109,Personal[September])</f>
        <v>0</v>
      </c>
      <c r="L86" s="36">
        <f>SUBTOTAL(109,Personal[October])</f>
        <v>0</v>
      </c>
      <c r="M86" s="26">
        <f>SUBTOTAL(109,Personal[November])</f>
        <v>0</v>
      </c>
      <c r="N86" s="36">
        <f>SUBTOTAL(109,Personal[December])</f>
        <v>0</v>
      </c>
      <c r="O86" s="26">
        <f>SUBTOTAL(109,Personal[Year])</f>
        <v>139</v>
      </c>
      <c r="P86" s="49"/>
    </row>
    <row r="87" spans="1:16" ht="20.100000000000001" customHeight="1" x14ac:dyDescent="0.2"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</row>
    <row r="88" spans="1:16" ht="21" customHeight="1" x14ac:dyDescent="0.2">
      <c r="A88" s="12" t="s">
        <v>115</v>
      </c>
      <c r="B88" s="24" t="s">
        <v>67</v>
      </c>
      <c r="C88" s="28" t="s">
        <v>94</v>
      </c>
      <c r="D88" s="29" t="s">
        <v>95</v>
      </c>
      <c r="E88" s="28" t="s">
        <v>87</v>
      </c>
      <c r="F88" s="29" t="s">
        <v>88</v>
      </c>
      <c r="G88" s="28" t="s">
        <v>89</v>
      </c>
      <c r="H88" s="29" t="s">
        <v>90</v>
      </c>
      <c r="I88" s="28" t="s">
        <v>91</v>
      </c>
      <c r="J88" s="29" t="s">
        <v>96</v>
      </c>
      <c r="K88" s="28" t="s">
        <v>97</v>
      </c>
      <c r="L88" s="29" t="s">
        <v>98</v>
      </c>
      <c r="M88" s="28" t="s">
        <v>99</v>
      </c>
      <c r="N88" s="29" t="s">
        <v>100</v>
      </c>
      <c r="O88" s="28" t="s">
        <v>92</v>
      </c>
      <c r="P88" s="29" t="s">
        <v>101</v>
      </c>
    </row>
    <row r="89" spans="1:16" ht="15.95" customHeight="1" x14ac:dyDescent="0.2">
      <c r="B89" s="23" t="s">
        <v>47</v>
      </c>
      <c r="C89" s="26">
        <v>25</v>
      </c>
      <c r="D89" s="30">
        <v>25</v>
      </c>
      <c r="E89" s="26">
        <v>25</v>
      </c>
      <c r="F89" s="30"/>
      <c r="G89" s="26"/>
      <c r="H89" s="30"/>
      <c r="I89" s="26"/>
      <c r="J89" s="30"/>
      <c r="K89" s="26"/>
      <c r="L89" s="30"/>
      <c r="M89" s="26"/>
      <c r="N89" s="30"/>
      <c r="O89" s="26">
        <f>SUM(Financial[[#This Row],[January]:[December]])</f>
        <v>75</v>
      </c>
      <c r="P89" s="30"/>
    </row>
    <row r="90" spans="1:16" ht="15.95" customHeight="1" x14ac:dyDescent="0.2">
      <c r="B90" s="23" t="s">
        <v>48</v>
      </c>
      <c r="C90" s="26">
        <v>45</v>
      </c>
      <c r="D90" s="30">
        <v>45</v>
      </c>
      <c r="E90" s="26">
        <v>45</v>
      </c>
      <c r="F90" s="30"/>
      <c r="G90" s="26"/>
      <c r="H90" s="30"/>
      <c r="I90" s="26"/>
      <c r="J90" s="30"/>
      <c r="K90" s="26"/>
      <c r="L90" s="30"/>
      <c r="M90" s="26"/>
      <c r="N90" s="30"/>
      <c r="O90" s="26">
        <f>SUM(Financial[[#This Row],[January]:[December]])</f>
        <v>135</v>
      </c>
      <c r="P90" s="36"/>
    </row>
    <row r="91" spans="1:16" ht="15.95" customHeight="1" x14ac:dyDescent="0.2">
      <c r="B91" s="23" t="s">
        <v>49</v>
      </c>
      <c r="C91" s="26">
        <v>75</v>
      </c>
      <c r="D91" s="30">
        <v>75</v>
      </c>
      <c r="E91" s="26">
        <v>75</v>
      </c>
      <c r="F91" s="30"/>
      <c r="G91" s="26"/>
      <c r="H91" s="30"/>
      <c r="I91" s="26"/>
      <c r="J91" s="30"/>
      <c r="K91" s="26"/>
      <c r="L91" s="30"/>
      <c r="M91" s="26"/>
      <c r="N91" s="30"/>
      <c r="O91" s="26">
        <f>SUM(Financial[[#This Row],[January]:[December]])</f>
        <v>225</v>
      </c>
      <c r="P91" s="30"/>
    </row>
    <row r="92" spans="1:16" ht="15.95" customHeight="1" x14ac:dyDescent="0.2">
      <c r="B92" s="23" t="s">
        <v>50</v>
      </c>
      <c r="C92" s="26"/>
      <c r="D92" s="30"/>
      <c r="E92" s="26"/>
      <c r="F92" s="30"/>
      <c r="G92" s="26"/>
      <c r="H92" s="30"/>
      <c r="I92" s="26"/>
      <c r="J92" s="30"/>
      <c r="K92" s="26"/>
      <c r="L92" s="30"/>
      <c r="M92" s="26"/>
      <c r="N92" s="30"/>
      <c r="O92" s="26">
        <f>SUM(Financial[[#This Row],[January]:[December]])</f>
        <v>0</v>
      </c>
      <c r="P92" s="36"/>
    </row>
    <row r="93" spans="1:16" ht="15.95" customHeight="1" x14ac:dyDescent="0.2">
      <c r="B93" s="23" t="s">
        <v>51</v>
      </c>
      <c r="C93" s="26">
        <v>32</v>
      </c>
      <c r="D93" s="30">
        <v>34</v>
      </c>
      <c r="E93" s="26">
        <v>1</v>
      </c>
      <c r="F93" s="30"/>
      <c r="G93" s="26"/>
      <c r="H93" s="30"/>
      <c r="I93" s="26"/>
      <c r="J93" s="30"/>
      <c r="K93" s="26"/>
      <c r="L93" s="30"/>
      <c r="M93" s="26"/>
      <c r="N93" s="30"/>
      <c r="O93" s="26">
        <f>SUM(Financial[[#This Row],[January]:[December]])</f>
        <v>67</v>
      </c>
      <c r="P93" s="30"/>
    </row>
    <row r="94" spans="1:16" ht="21" customHeight="1" thickBot="1" x14ac:dyDescent="0.25">
      <c r="B94" s="52" t="s">
        <v>55</v>
      </c>
      <c r="C94" s="27">
        <f>SUBTOTAL(109,Financial[January])</f>
        <v>177</v>
      </c>
      <c r="D94" s="31">
        <f>SUBTOTAL(109,Financial[February])</f>
        <v>179</v>
      </c>
      <c r="E94" s="27">
        <f>SUBTOTAL(109,Financial[March])</f>
        <v>146</v>
      </c>
      <c r="F94" s="31">
        <f>SUBTOTAL(109,Financial[April])</f>
        <v>0</v>
      </c>
      <c r="G94" s="27">
        <f>SUBTOTAL(109,Financial[May])</f>
        <v>0</v>
      </c>
      <c r="H94" s="31">
        <f>SUBTOTAL(109,Financial[June])</f>
        <v>0</v>
      </c>
      <c r="I94" s="27">
        <f>SUBTOTAL(109,Financial[July])</f>
        <v>0</v>
      </c>
      <c r="J94" s="31">
        <f>SUBTOTAL(109,Financial[August])</f>
        <v>0</v>
      </c>
      <c r="K94" s="27">
        <f>SUBTOTAL(109,Financial[September])</f>
        <v>0</v>
      </c>
      <c r="L94" s="31">
        <f>SUBTOTAL(109,Financial[October])</f>
        <v>0</v>
      </c>
      <c r="M94" s="27">
        <f>SUBTOTAL(109,Financial[November])</f>
        <v>0</v>
      </c>
      <c r="N94" s="31">
        <f>SUBTOTAL(109,Financial[December])</f>
        <v>0</v>
      </c>
      <c r="O94" s="27">
        <f>SUBTOTAL(109,Financial[Year])</f>
        <v>502</v>
      </c>
      <c r="P94" s="37"/>
    </row>
    <row r="95" spans="1:16" ht="20.100000000000001" customHeight="1" thickTop="1" x14ac:dyDescent="0.2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</row>
    <row r="96" spans="1:16" ht="21" customHeight="1" x14ac:dyDescent="0.2">
      <c r="A96" s="12" t="s">
        <v>116</v>
      </c>
      <c r="B96" s="24" t="s">
        <v>68</v>
      </c>
      <c r="C96" s="28" t="s">
        <v>94</v>
      </c>
      <c r="D96" s="33" t="s">
        <v>95</v>
      </c>
      <c r="E96" s="28" t="s">
        <v>87</v>
      </c>
      <c r="F96" s="33" t="s">
        <v>88</v>
      </c>
      <c r="G96" s="28" t="s">
        <v>89</v>
      </c>
      <c r="H96" s="29" t="s">
        <v>90</v>
      </c>
      <c r="I96" s="28" t="s">
        <v>91</v>
      </c>
      <c r="J96" s="29" t="s">
        <v>96</v>
      </c>
      <c r="K96" s="28" t="s">
        <v>97</v>
      </c>
      <c r="L96" s="29" t="s">
        <v>98</v>
      </c>
      <c r="M96" s="28" t="s">
        <v>99</v>
      </c>
      <c r="N96" s="29" t="s">
        <v>100</v>
      </c>
      <c r="O96" s="28" t="s">
        <v>92</v>
      </c>
      <c r="P96" s="29" t="s">
        <v>101</v>
      </c>
    </row>
    <row r="97" spans="1:16" ht="15.95" customHeight="1" x14ac:dyDescent="0.2">
      <c r="B97" s="41" t="s">
        <v>52</v>
      </c>
      <c r="C97" s="26"/>
      <c r="D97" s="30"/>
      <c r="E97" s="26"/>
      <c r="F97" s="30"/>
      <c r="G97" s="26"/>
      <c r="H97" s="30"/>
      <c r="I97" s="26"/>
      <c r="J97" s="30"/>
      <c r="K97" s="26"/>
      <c r="L97" s="30"/>
      <c r="M97" s="26"/>
      <c r="N97" s="30"/>
      <c r="O97" s="26">
        <f>SUM(Misc[[#This Row],[January]:[December]])</f>
        <v>0</v>
      </c>
      <c r="P97" s="30"/>
    </row>
    <row r="98" spans="1:16" ht="15.95" customHeight="1" x14ac:dyDescent="0.2">
      <c r="B98" s="41" t="s">
        <v>52</v>
      </c>
      <c r="C98" s="26"/>
      <c r="D98" s="30"/>
      <c r="E98" s="26"/>
      <c r="F98" s="30"/>
      <c r="G98" s="26"/>
      <c r="H98" s="30"/>
      <c r="I98" s="26"/>
      <c r="J98" s="30"/>
      <c r="K98" s="26"/>
      <c r="L98" s="30"/>
      <c r="M98" s="26"/>
      <c r="N98" s="30"/>
      <c r="O98" s="26">
        <f>SUM(Misc[[#This Row],[January]:[December]])</f>
        <v>0</v>
      </c>
      <c r="P98" s="36"/>
    </row>
    <row r="99" spans="1:16" ht="15.95" customHeight="1" x14ac:dyDescent="0.2">
      <c r="B99" s="41" t="s">
        <v>52</v>
      </c>
      <c r="C99" s="26"/>
      <c r="D99" s="30"/>
      <c r="E99" s="26"/>
      <c r="F99" s="30"/>
      <c r="G99" s="26"/>
      <c r="H99" s="30"/>
      <c r="I99" s="26"/>
      <c r="J99" s="30"/>
      <c r="K99" s="26"/>
      <c r="L99" s="30"/>
      <c r="M99" s="26"/>
      <c r="N99" s="30"/>
      <c r="O99" s="26">
        <f>SUM(Misc[[#This Row],[January]:[December]])</f>
        <v>0</v>
      </c>
      <c r="P99" s="30"/>
    </row>
    <row r="100" spans="1:16" ht="15.95" customHeight="1" x14ac:dyDescent="0.2">
      <c r="B100" s="41" t="s">
        <v>52</v>
      </c>
      <c r="C100" s="26"/>
      <c r="D100" s="30"/>
      <c r="E100" s="26"/>
      <c r="F100" s="30"/>
      <c r="G100" s="26"/>
      <c r="H100" s="30"/>
      <c r="I100" s="26"/>
      <c r="J100" s="30"/>
      <c r="K100" s="26"/>
      <c r="L100" s="30"/>
      <c r="M100" s="26"/>
      <c r="N100" s="30"/>
      <c r="O100" s="26">
        <f>SUM(Misc[[#This Row],[January]:[December]])</f>
        <v>0</v>
      </c>
      <c r="P100" s="36"/>
    </row>
    <row r="101" spans="1:16" ht="15.95" customHeight="1" x14ac:dyDescent="0.2">
      <c r="B101" s="41" t="s">
        <v>52</v>
      </c>
      <c r="C101" s="26"/>
      <c r="D101" s="30"/>
      <c r="E101" s="26"/>
      <c r="F101" s="30"/>
      <c r="G101" s="26"/>
      <c r="H101" s="30"/>
      <c r="I101" s="26"/>
      <c r="J101" s="30"/>
      <c r="K101" s="26"/>
      <c r="L101" s="30"/>
      <c r="M101" s="26"/>
      <c r="N101" s="30"/>
      <c r="O101" s="26">
        <f>SUM(Misc[[#This Row],[January]:[December]])</f>
        <v>0</v>
      </c>
      <c r="P101" s="30"/>
    </row>
    <row r="102" spans="1:16" ht="21" customHeight="1" x14ac:dyDescent="0.2">
      <c r="B102" s="52" t="s">
        <v>55</v>
      </c>
      <c r="C102" s="26">
        <f>SUBTOTAL(109,Misc[January])</f>
        <v>0</v>
      </c>
      <c r="D102" s="36">
        <f>SUBTOTAL(109,Misc[February])</f>
        <v>0</v>
      </c>
      <c r="E102" s="26">
        <f>SUBTOTAL(109,Misc[March])</f>
        <v>0</v>
      </c>
      <c r="F102" s="36">
        <f>SUBTOTAL(109,Misc[April])</f>
        <v>0</v>
      </c>
      <c r="G102" s="26">
        <f>SUBTOTAL(109,Misc[May])</f>
        <v>0</v>
      </c>
      <c r="H102" s="36">
        <f>SUBTOTAL(109,Misc[June])</f>
        <v>0</v>
      </c>
      <c r="I102" s="26">
        <f>SUBTOTAL(109,Misc[July])</f>
        <v>0</v>
      </c>
      <c r="J102" s="36">
        <f>SUBTOTAL(109,Misc[August])</f>
        <v>0</v>
      </c>
      <c r="K102" s="26">
        <f>SUBTOTAL(109,Misc[September])</f>
        <v>0</v>
      </c>
      <c r="L102" s="36">
        <f>SUBTOTAL(109,Misc[October])</f>
        <v>0</v>
      </c>
      <c r="M102" s="26">
        <f>SUBTOTAL(109,Misc[November])</f>
        <v>0</v>
      </c>
      <c r="N102" s="36">
        <f>SUBTOTAL(109,Misc[December])</f>
        <v>0</v>
      </c>
      <c r="O102" s="26">
        <f>SUBTOTAL(109,Misc[Year])</f>
        <v>0</v>
      </c>
      <c r="P102" s="49"/>
    </row>
    <row r="103" spans="1:16" ht="20.100000000000001" customHeight="1" x14ac:dyDescent="0.2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</row>
    <row r="104" spans="1:16" ht="21" customHeight="1" x14ac:dyDescent="0.2">
      <c r="A104" s="12" t="s">
        <v>117</v>
      </c>
      <c r="B104" s="53" t="s">
        <v>69</v>
      </c>
      <c r="C104" s="55" t="s">
        <v>70</v>
      </c>
      <c r="D104" s="55" t="s">
        <v>71</v>
      </c>
      <c r="E104" s="55" t="s">
        <v>73</v>
      </c>
      <c r="F104" s="55" t="s">
        <v>74</v>
      </c>
      <c r="G104" s="55" t="s">
        <v>72</v>
      </c>
      <c r="H104" s="55" t="s">
        <v>75</v>
      </c>
      <c r="I104" s="55" t="s">
        <v>76</v>
      </c>
      <c r="J104" s="55" t="s">
        <v>77</v>
      </c>
      <c r="K104" s="55" t="s">
        <v>78</v>
      </c>
      <c r="L104" s="55" t="s">
        <v>79</v>
      </c>
      <c r="M104" s="55" t="s">
        <v>80</v>
      </c>
      <c r="N104" s="55" t="s">
        <v>81</v>
      </c>
      <c r="O104" s="55" t="s">
        <v>82</v>
      </c>
      <c r="P104" s="53" t="s">
        <v>118</v>
      </c>
    </row>
    <row r="105" spans="1:16" ht="15.95" customHeight="1" x14ac:dyDescent="0.2">
      <c r="B105" s="56" t="s">
        <v>53</v>
      </c>
      <c r="C105" s="30">
        <f>SUM(Misc[[#Totals],[January]],Financial[[#Totals],[January]],Personal[[#Totals],[January]],DuesAndSubscription[[#Totals],[January]],Recreation[[#Totals],[January]],Vacations[[#Totals],[January]],Health[[#Totals],[January]],Entertainment[[#Totals],[January]],Transportation[[#Totals],[January]],Daily[[#Totals],[January]],Home[[#Totals],[January]])</f>
        <v>2687</v>
      </c>
      <c r="D105" s="30">
        <f>SUM(Misc[[#Totals],[February]],Financial[[#Totals],[February]],Personal[[#Totals],[February]],DuesAndSubscription[[#Totals],[February]],Recreation[[#Totals],[February]],Vacations[[#Totals],[February]],Health[[#Totals],[February]],Entertainment[[#Totals],[February]],Transportation[[#Totals],[February]],Daily[[#Totals],[February]],Home[[#Totals],[February]])</f>
        <v>3429</v>
      </c>
      <c r="E105" s="30">
        <f>SUM(Misc[[#Totals],[March]],Financial[[#Totals],[March]],Personal[[#Totals],[March]],DuesAndSubscription[[#Totals],[March]],Recreation[[#Totals],[March]],Vacations[[#Totals],[March]],Health[[#Totals],[March]],Entertainment[[#Totals],[March]],Transportation[[#Totals],[March]],Daily[[#Totals],[March]],Home[[#Totals],[March]])</f>
        <v>2718</v>
      </c>
      <c r="F105" s="30">
        <f>SUM(Misc[[#Totals],[April]],Financial[[#Totals],[April]],Personal[[#Totals],[April]],DuesAndSubscription[[#Totals],[April]],Recreation[[#Totals],[April]],Vacations[[#Totals],[April]],Health[[#Totals],[April]],Entertainment[[#Totals],[April]],Transportation[[#Totals],[April]],Daily[[#Totals],[April]],Home[[#Totals],[April]])</f>
        <v>0</v>
      </c>
      <c r="G105" s="30">
        <f>SUM(Misc[[#Totals],[May]],Financial[[#Totals],[May]],Personal[[#Totals],[May]],DuesAndSubscription[[#Totals],[May]],Recreation[[#Totals],[May]],Vacations[[#Totals],[May]],Health[[#Totals],[May]],Entertainment[[#Totals],[May]],Transportation[[#Totals],[May]],Daily[[#Totals],[May]],Home[[#Totals],[May]])</f>
        <v>0</v>
      </c>
      <c r="H105" s="30">
        <f>SUM(Misc[[#Totals],[June]],Financial[[#Totals],[June]],Personal[[#Totals],[June]],DuesAndSubscription[[#Totals],[June]],Recreation[[#Totals],[June]],Vacations[[#Totals],[June]],Health[[#Totals],[June]],Entertainment[[#Totals],[June]],Transportation[[#Totals],[June]],Daily[[#Totals],[June]],Home[[#Totals],[June]])</f>
        <v>0</v>
      </c>
      <c r="I105" s="30">
        <f>SUM(Misc[[#Totals],[July]],Financial[[#Totals],[July]],Personal[[#Totals],[July]],DuesAndSubscription[[#Totals],[July]],Recreation[[#Totals],[July]],Vacations[[#Totals],[July]],Health[[#Totals],[July]],Entertainment[[#Totals],[July]],Transportation[[#Totals],[July]],Daily[[#Totals],[July]],Home[[#Totals],[July]])</f>
        <v>0</v>
      </c>
      <c r="J105" s="30">
        <f>SUM(Misc[[#Totals],[August]],Financial[[#Totals],[August]],Personal[[#Totals],[August]],DuesAndSubscription[[#Totals],[August]],Recreation[[#Totals],[August]],Vacations[[#Totals],[August]],Health[[#Totals],[August]],Entertainment[[#Totals],[August]],Transportation[[#Totals],[August]],Daily[[#Totals],[August]],Home[[#Totals],[August]])</f>
        <v>0</v>
      </c>
      <c r="K105" s="30">
        <f>SUM(Misc[[#Totals],[September]],Financial[[#Totals],[September]],Personal[[#Totals],[September]],DuesAndSubscription[[#Totals],[September]],Recreation[[#Totals],[September]],Vacations[[#Totals],[September]],Health[[#Totals],[September]],Entertainment[[#Totals],[September]],Transportation[[#Totals],[September]],Daily[[#Totals],[September]],Home[[#Totals],[September]])</f>
        <v>0</v>
      </c>
      <c r="L105" s="30">
        <f>SUM(Misc[[#Totals],[October]],Financial[[#Totals],[October]],Personal[[#Totals],[October]],DuesAndSubscription[[#Totals],[October]],Recreation[[#Totals],[October]],Vacations[[#Totals],[October]],Health[[#Totals],[October]],Entertainment[[#Totals],[October]],Transportation[[#Totals],[October]],Daily[[#Totals],[October]],Home[[#Totals],[October]])</f>
        <v>0</v>
      </c>
      <c r="M105" s="30">
        <f>SUM(Misc[[#Totals],[November]],Financial[[#Totals],[November]],Personal[[#Totals],[November]],DuesAndSubscription[[#Totals],[November]],Recreation[[#Totals],[November]],Vacations[[#Totals],[November]],Health[[#Totals],[November]],Entertainment[[#Totals],[November]],Transportation[[#Totals],[November]],Daily[[#Totals],[November]],Home[[#Totals],[November]])</f>
        <v>0</v>
      </c>
      <c r="N105" s="30">
        <f>SUM(Misc[[#Totals],[December]],Financial[[#Totals],[December]],Personal[[#Totals],[December]],DuesAndSubscription[[#Totals],[December]],Recreation[[#Totals],[December]],Vacations[[#Totals],[December]],Health[[#Totals],[December]],Entertainment[[#Totals],[December]],Transportation[[#Totals],[December]],Daily[[#Totals],[December]],Home[[#Totals],[December]])</f>
        <v>0</v>
      </c>
      <c r="O105" s="30">
        <f>SUM(Misc[[#Totals],[Year]],Financial[[#Totals],[Year]],Personal[[#Totals],[Year]],DuesAndSubscription[[#Totals],[Year]],Recreation[[#Totals],[Year]],Vacations[[#Totals],[Year]],Health[[#Totals],[Year]],Entertainment[[#Totals],[Year]],Transportation[[#Totals],[Year]],Daily[[#Totals],[Year]],Home[[#Totals],[Year]])</f>
        <v>8834</v>
      </c>
      <c r="P105" s="30"/>
    </row>
    <row r="106" spans="1:16" ht="15.95" customHeight="1" x14ac:dyDescent="0.2">
      <c r="B106" s="56" t="s">
        <v>54</v>
      </c>
      <c r="C106" s="30">
        <f>Income[[#Totals],[January]]-C105</f>
        <v>1036</v>
      </c>
      <c r="D106" s="30">
        <f>Income[[#Totals],[February]]-D105</f>
        <v>127</v>
      </c>
      <c r="E106" s="30">
        <f>Income[[#Totals],[March]]-E105</f>
        <v>926</v>
      </c>
      <c r="F106" s="30">
        <f>Income[[#Totals],[April]]-F105</f>
        <v>0</v>
      </c>
      <c r="G106" s="30">
        <f>Income[[#Totals],[May]]-G105</f>
        <v>0</v>
      </c>
      <c r="H106" s="30">
        <f>Income[[#Totals],[June]]-H105</f>
        <v>0</v>
      </c>
      <c r="I106" s="30">
        <f>Income[[#Totals],[July]]-I105</f>
        <v>0</v>
      </c>
      <c r="J106" s="30">
        <f>Income[[#Totals],[August]]-J105</f>
        <v>0</v>
      </c>
      <c r="K106" s="30">
        <f>Income[[#Totals],[September]]-K105</f>
        <v>0</v>
      </c>
      <c r="L106" s="30">
        <f>Income[[#Totals],[October]]-L105</f>
        <v>0</v>
      </c>
      <c r="M106" s="30">
        <f>Income[[#Totals],[November]]-M105</f>
        <v>0</v>
      </c>
      <c r="N106" s="30">
        <f>Income[[#Totals],[December]]-N105</f>
        <v>0</v>
      </c>
      <c r="O106" s="30">
        <f>Income[[#Totals],[Year]]-O105</f>
        <v>2089</v>
      </c>
      <c r="P106" s="30"/>
    </row>
    <row r="107" spans="1:16" ht="8.1" customHeight="1" x14ac:dyDescent="0.2"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</row>
  </sheetData>
  <mergeCells count="11">
    <mergeCell ref="B1:P1"/>
    <mergeCell ref="B27:P27"/>
    <mergeCell ref="B103:P103"/>
    <mergeCell ref="B95:P95"/>
    <mergeCell ref="B87:P87"/>
    <mergeCell ref="B79:P79"/>
    <mergeCell ref="B69:P69"/>
    <mergeCell ref="B62:P62"/>
    <mergeCell ref="B53:P53"/>
    <mergeCell ref="B43:P43"/>
    <mergeCell ref="B36:P36"/>
  </mergeCells>
  <conditionalFormatting sqref="C106:O106">
    <cfRule type="cellIs" dxfId="404" priority="1" operator="lessThan">
      <formula>0</formula>
    </cfRule>
  </conditionalFormatting>
  <printOptions horizontalCentered="1"/>
  <pageMargins left="0.4" right="0.4" top="0.4" bottom="0.4" header="0.3" footer="0.3"/>
  <pageSetup scale="54" fitToHeight="0" orientation="landscape" r:id="rId1"/>
  <headerFooter>
    <oddFooter>&amp;L&amp;G&amp;R&amp;P</oddFooter>
  </headerFooter>
  <ignoredErrors>
    <ignoredError sqref="C105:O105" calculatedColumn="1"/>
    <ignoredError sqref="O5:O7 O12:O16 O20:O25 O29:O34 O38:O41 O45:O51 O55:O60 O64:O67 O71:O77 O81:O85 O89:O93 O97:O101" emptyCellReference="1"/>
  </ignoredErrors>
  <legacyDrawingHF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00000000-0003-0000-0000-00000D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BUDGET'!C97:N97</xm:f>
              <xm:sqref>P97</xm:sqref>
            </x14:sparkline>
            <x14:sparkline>
              <xm:f>'PERSONAL BUDGET'!C98:N98</xm:f>
              <xm:sqref>P98</xm:sqref>
            </x14:sparkline>
            <x14:sparkline>
              <xm:f>'PERSONAL BUDGET'!C99:N99</xm:f>
              <xm:sqref>P99</xm:sqref>
            </x14:sparkline>
            <x14:sparkline>
              <xm:f>'PERSONAL BUDGET'!C100:N100</xm:f>
              <xm:sqref>P100</xm:sqref>
            </x14:sparkline>
            <x14:sparkline>
              <xm:f>'PERSONAL BUDGET'!C101:N101</xm:f>
              <xm:sqref>P101</xm:sqref>
            </x14:sparkline>
            <x14:sparkline>
              <xm:f>'PERSONAL BUDGET'!C102:N102</xm:f>
              <xm:sqref>P102</xm:sqref>
            </x14:sparkline>
          </x14:sparklines>
        </x14:sparklineGroup>
        <x14:sparklineGroup displayEmptyCellsAs="gap" high="1" low="1" xr2:uid="{00000000-0003-0000-0000-00000B000000}">
          <x14:colorSeries theme="0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BUDGET'!C105:N105</xm:f>
              <xm:sqref>P105</xm:sqref>
            </x14:sparkline>
            <x14:sparkline>
              <xm:f>'PERSONAL BUDGET'!C106:N106</xm:f>
              <xm:sqref>P106</xm:sqref>
            </x14:sparkline>
          </x14:sparklines>
        </x14:sparklineGroup>
        <x14:sparklineGroup displayEmptyCellsAs="gap" high="1" low="1" xr2:uid="{00000000-0003-0000-0000-00000A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BUDGET'!C89:N89</xm:f>
              <xm:sqref>P89</xm:sqref>
            </x14:sparkline>
            <x14:sparkline>
              <xm:f>'PERSONAL BUDGET'!C90:N90</xm:f>
              <xm:sqref>P90</xm:sqref>
            </x14:sparkline>
            <x14:sparkline>
              <xm:f>'PERSONAL BUDGET'!C91:N91</xm:f>
              <xm:sqref>P91</xm:sqref>
            </x14:sparkline>
            <x14:sparkline>
              <xm:f>'PERSONAL BUDGET'!C92:N92</xm:f>
              <xm:sqref>P92</xm:sqref>
            </x14:sparkline>
            <x14:sparkline>
              <xm:f>'PERSONAL BUDGET'!C93:N93</xm:f>
              <xm:sqref>P93</xm:sqref>
            </x14:sparkline>
            <x14:sparkline>
              <xm:f>'PERSONAL BUDGET'!C94:N94</xm:f>
              <xm:sqref>P94</xm:sqref>
            </x14:sparkline>
          </x14:sparklines>
        </x14:sparklineGroup>
        <x14:sparklineGroup displayEmptyCellsAs="gap" high="1" low="1" xr2:uid="{00000000-0003-0000-0000-000009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BUDGET'!C81:N81</xm:f>
              <xm:sqref>P81</xm:sqref>
            </x14:sparkline>
            <x14:sparkline>
              <xm:f>'PERSONAL BUDGET'!C82:N82</xm:f>
              <xm:sqref>P82</xm:sqref>
            </x14:sparkline>
            <x14:sparkline>
              <xm:f>'PERSONAL BUDGET'!C83:N83</xm:f>
              <xm:sqref>P83</xm:sqref>
            </x14:sparkline>
            <x14:sparkline>
              <xm:f>'PERSONAL BUDGET'!C84:N84</xm:f>
              <xm:sqref>P84</xm:sqref>
            </x14:sparkline>
            <x14:sparkline>
              <xm:f>'PERSONAL BUDGET'!C85:N85</xm:f>
              <xm:sqref>P85</xm:sqref>
            </x14:sparkline>
            <x14:sparkline>
              <xm:f>'PERSONAL BUDGET'!C86:N86</xm:f>
              <xm:sqref>P86</xm:sqref>
            </x14:sparkline>
          </x14:sparklines>
        </x14:sparklineGroup>
        <x14:sparklineGroup displayEmptyCellsAs="gap" high="1" low="1" xr2:uid="{00000000-0003-0000-0000-000008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BUDGET'!C71:N71</xm:f>
              <xm:sqref>P71</xm:sqref>
            </x14:sparkline>
            <x14:sparkline>
              <xm:f>'PERSONAL BUDGET'!C72:N72</xm:f>
              <xm:sqref>P72</xm:sqref>
            </x14:sparkline>
            <x14:sparkline>
              <xm:f>'PERSONAL BUDGET'!C73:N73</xm:f>
              <xm:sqref>P73</xm:sqref>
            </x14:sparkline>
            <x14:sparkline>
              <xm:f>'PERSONAL BUDGET'!C74:N74</xm:f>
              <xm:sqref>P74</xm:sqref>
            </x14:sparkline>
            <x14:sparkline>
              <xm:f>'PERSONAL BUDGET'!C75:N75</xm:f>
              <xm:sqref>P75</xm:sqref>
            </x14:sparkline>
            <x14:sparkline>
              <xm:f>'PERSONAL BUDGET'!C76:N76</xm:f>
              <xm:sqref>P76</xm:sqref>
            </x14:sparkline>
            <x14:sparkline>
              <xm:f>'PERSONAL BUDGET'!C77:N77</xm:f>
              <xm:sqref>P77</xm:sqref>
            </x14:sparkline>
            <x14:sparkline>
              <xm:f>'PERSONAL BUDGET'!C78:N78</xm:f>
              <xm:sqref>P78</xm:sqref>
            </x14:sparkline>
          </x14:sparklines>
        </x14:sparklineGroup>
        <x14:sparklineGroup displayEmptyCellsAs="gap" high="1" low="1" xr2:uid="{00000000-0003-0000-0000-000007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BUDGET'!C64:N64</xm:f>
              <xm:sqref>P64</xm:sqref>
            </x14:sparkline>
            <x14:sparkline>
              <xm:f>'PERSONAL BUDGET'!C65:N65</xm:f>
              <xm:sqref>P65</xm:sqref>
            </x14:sparkline>
            <x14:sparkline>
              <xm:f>'PERSONAL BUDGET'!C66:N66</xm:f>
              <xm:sqref>P66</xm:sqref>
            </x14:sparkline>
            <x14:sparkline>
              <xm:f>'PERSONAL BUDGET'!C67:N67</xm:f>
              <xm:sqref>P67</xm:sqref>
            </x14:sparkline>
            <x14:sparkline>
              <xm:f>'PERSONAL BUDGET'!C68:N68</xm:f>
              <xm:sqref>P68</xm:sqref>
            </x14:sparkline>
          </x14:sparklines>
        </x14:sparklineGroup>
        <x14:sparklineGroup displayEmptyCellsAs="gap" high="1" low="1" xr2:uid="{00000000-0003-0000-0000-000006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BUDGET'!C55:N55</xm:f>
              <xm:sqref>P55</xm:sqref>
            </x14:sparkline>
            <x14:sparkline>
              <xm:f>'PERSONAL BUDGET'!C56:N56</xm:f>
              <xm:sqref>P56</xm:sqref>
            </x14:sparkline>
            <x14:sparkline>
              <xm:f>'PERSONAL BUDGET'!C57:N57</xm:f>
              <xm:sqref>P57</xm:sqref>
            </x14:sparkline>
            <x14:sparkline>
              <xm:f>'PERSONAL BUDGET'!C58:N58</xm:f>
              <xm:sqref>P58</xm:sqref>
            </x14:sparkline>
            <x14:sparkline>
              <xm:f>'PERSONAL BUDGET'!C59:N59</xm:f>
              <xm:sqref>P59</xm:sqref>
            </x14:sparkline>
            <x14:sparkline>
              <xm:f>'PERSONAL BUDGET'!C60:N60</xm:f>
              <xm:sqref>P60</xm:sqref>
            </x14:sparkline>
            <x14:sparkline>
              <xm:f>'PERSONAL BUDGET'!C61:N61</xm:f>
              <xm:sqref>P61</xm:sqref>
            </x14:sparkline>
          </x14:sparklines>
        </x14:sparklineGroup>
        <x14:sparklineGroup displayEmptyCellsAs="gap" high="1" low="1" xr2:uid="{00000000-0003-0000-0000-000005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BUDGET'!C45:N45</xm:f>
              <xm:sqref>P45</xm:sqref>
            </x14:sparkline>
            <x14:sparkline>
              <xm:f>'PERSONAL BUDGET'!C46:N46</xm:f>
              <xm:sqref>P46</xm:sqref>
            </x14:sparkline>
            <x14:sparkline>
              <xm:f>'PERSONAL BUDGET'!C47:N47</xm:f>
              <xm:sqref>P47</xm:sqref>
            </x14:sparkline>
            <x14:sparkline>
              <xm:f>'PERSONAL BUDGET'!C48:N48</xm:f>
              <xm:sqref>P48</xm:sqref>
            </x14:sparkline>
            <x14:sparkline>
              <xm:f>'PERSONAL BUDGET'!C49:N49</xm:f>
              <xm:sqref>P49</xm:sqref>
            </x14:sparkline>
            <x14:sparkline>
              <xm:f>'PERSONAL BUDGET'!C50:N50</xm:f>
              <xm:sqref>P50</xm:sqref>
            </x14:sparkline>
            <x14:sparkline>
              <xm:f>'PERSONAL BUDGET'!C51:N51</xm:f>
              <xm:sqref>P51</xm:sqref>
            </x14:sparkline>
            <x14:sparkline>
              <xm:f>'PERSONAL BUDGET'!C52:N52</xm:f>
              <xm:sqref>P52</xm:sqref>
            </x14:sparkline>
          </x14:sparklines>
        </x14:sparklineGroup>
        <x14:sparklineGroup displayEmptyCellsAs="gap" high="1" low="1" xr2:uid="{00000000-0003-0000-0000-000004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BUDGET'!C38:N38</xm:f>
              <xm:sqref>P38</xm:sqref>
            </x14:sparkline>
            <x14:sparkline>
              <xm:f>'PERSONAL BUDGET'!C39:N39</xm:f>
              <xm:sqref>P39</xm:sqref>
            </x14:sparkline>
            <x14:sparkline>
              <xm:f>'PERSONAL BUDGET'!C40:N40</xm:f>
              <xm:sqref>P40</xm:sqref>
            </x14:sparkline>
            <x14:sparkline>
              <xm:f>'PERSONAL BUDGET'!C41:N41</xm:f>
              <xm:sqref>P41</xm:sqref>
            </x14:sparkline>
            <x14:sparkline>
              <xm:f>'PERSONAL BUDGET'!C42:N42</xm:f>
              <xm:sqref>P42</xm:sqref>
            </x14:sparkline>
          </x14:sparklines>
        </x14:sparklineGroup>
        <x14:sparklineGroup displayEmptyCellsAs="gap" high="1" low="1" xr2:uid="{00000000-0003-0000-0000-000003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BUDGET'!C29:N29</xm:f>
              <xm:sqref>P29</xm:sqref>
            </x14:sparkline>
            <x14:sparkline>
              <xm:f>'PERSONAL BUDGET'!C30:N30</xm:f>
              <xm:sqref>P30</xm:sqref>
            </x14:sparkline>
            <x14:sparkline>
              <xm:f>'PERSONAL BUDGET'!C31:N31</xm:f>
              <xm:sqref>P31</xm:sqref>
            </x14:sparkline>
            <x14:sparkline>
              <xm:f>'PERSONAL BUDGET'!C32:N32</xm:f>
              <xm:sqref>P32</xm:sqref>
            </x14:sparkline>
            <x14:sparkline>
              <xm:f>'PERSONAL BUDGET'!C33:N33</xm:f>
              <xm:sqref>P33</xm:sqref>
            </x14:sparkline>
            <x14:sparkline>
              <xm:f>'PERSONAL BUDGET'!C34:N34</xm:f>
              <xm:sqref>P34</xm:sqref>
            </x14:sparkline>
            <x14:sparkline>
              <xm:f>'PERSONAL BUDGET'!C35:N35</xm:f>
              <xm:sqref>P35</xm:sqref>
            </x14:sparkline>
          </x14:sparklines>
        </x14:sparklineGroup>
        <x14:sparklineGroup displayEmptyCellsAs="gap" high="1" low="1" xr2:uid="{00000000-0003-0000-0000-000002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BUDGET'!C20:N20</xm:f>
              <xm:sqref>P20</xm:sqref>
            </x14:sparkline>
            <x14:sparkline>
              <xm:f>'PERSONAL BUDGET'!C21:N21</xm:f>
              <xm:sqref>P21</xm:sqref>
            </x14:sparkline>
            <x14:sparkline>
              <xm:f>'PERSONAL BUDGET'!C22:N22</xm:f>
              <xm:sqref>P22</xm:sqref>
            </x14:sparkline>
            <x14:sparkline>
              <xm:f>'PERSONAL BUDGET'!C23:N23</xm:f>
              <xm:sqref>P23</xm:sqref>
            </x14:sparkline>
            <x14:sparkline>
              <xm:f>'PERSONAL BUDGET'!C24:N24</xm:f>
              <xm:sqref>P24</xm:sqref>
            </x14:sparkline>
            <x14:sparkline>
              <xm:f>'PERSONAL BUDGET'!C25:N25</xm:f>
              <xm:sqref>P25</xm:sqref>
            </x14:sparkline>
            <x14:sparkline>
              <xm:f>'PERSONAL BUDGET'!C26:N26</xm:f>
              <xm:sqref>P26</xm:sqref>
            </x14:sparkline>
          </x14:sparklines>
        </x14:sparklineGroup>
        <x14:sparklineGroup displayEmptyCellsAs="gap" high="1" low="1" xr2:uid="{00000000-0003-0000-0000-000001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BUDGET'!C12:N12</xm:f>
              <xm:sqref>P12</xm:sqref>
            </x14:sparkline>
          </x14:sparklines>
        </x14:sparklineGroup>
        <x14:sparklineGroup displayEmptyCellsAs="gap" high="1" low="1" xr2:uid="{00000000-0003-0000-0000-00000C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BUDGET'!C5:N5</xm:f>
              <xm:sqref>P5</xm:sqref>
            </x14:sparkline>
            <x14:sparkline>
              <xm:f>'PERSONAL BUDGET'!C6:N6</xm:f>
              <xm:sqref>P6</xm:sqref>
            </x14:sparkline>
            <x14:sparkline>
              <xm:f>'PERSONAL BUDGET'!C7:N7</xm:f>
              <xm:sqref>P7</xm:sqref>
            </x14:sparkline>
            <x14:sparkline>
              <xm:f>'PERSONAL BUDGET'!C8:N8</xm:f>
              <xm:sqref>P8</xm:sqref>
            </x14:sparkline>
          </x14:sparklines>
        </x14:sparklineGroup>
        <x14:sparklineGroup displayEmptyCellsAs="gap" high="1" low="1" xr2:uid="{00000000-0003-0000-0000-000000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BUDGET'!C13:N13</xm:f>
              <xm:sqref>P13</xm:sqref>
            </x14:sparkline>
            <x14:sparkline>
              <xm:f>'PERSONAL BUDGET'!C14:N14</xm:f>
              <xm:sqref>P14</xm:sqref>
            </x14:sparkline>
            <x14:sparkline>
              <xm:f>'PERSONAL BUDGET'!C15:N15</xm:f>
              <xm:sqref>P15</xm:sqref>
            </x14:sparkline>
            <x14:sparkline>
              <xm:f>'PERSONAL BUDGET'!C16:N16</xm:f>
              <xm:sqref>P16</xm:sqref>
            </x14:sparkline>
            <x14:sparkline>
              <xm:f>'PERSONAL BUDGET'!C17:N17</xm:f>
              <xm:sqref>P17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3F0CBCCBFEF74A983A4E75A7EF5BC8" ma:contentTypeVersion="2" ma:contentTypeDescription="Create a new document." ma:contentTypeScope="" ma:versionID="75afb825b6d095c19609009c6fce83b8">
  <xsd:schema xmlns:xsd="http://www.w3.org/2001/XMLSchema" xmlns:xs="http://www.w3.org/2001/XMLSchema" xmlns:p="http://schemas.microsoft.com/office/2006/metadata/properties" xmlns:ns3="2cb1f52f-c684-4906-a802-5940786ffb60" targetNamespace="http://schemas.microsoft.com/office/2006/metadata/properties" ma:root="true" ma:fieldsID="42fe1d9493a041894cf993e66ae86a38" ns3:_="">
    <xsd:import namespace="2cb1f52f-c684-4906-a802-5940786ffb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1f52f-c684-4906-a802-5940786ffb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1F4036-09C6-4A09-9D13-4335F1A9E4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1f52f-c684-4906-a802-5940786ffb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BFF201-ABD5-431B-9E92-B1968EEEB8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2218CE-D094-4726-9443-931704BB75E0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2cb1f52f-c684-4906-a802-5940786ffb60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TM04035483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mss</dc:creator>
  <cp:lastModifiedBy>mss</cp:lastModifiedBy>
  <cp:lastPrinted>2023-03-02T04:15:24Z</cp:lastPrinted>
  <dcterms:created xsi:type="dcterms:W3CDTF">2018-06-21T11:23:21Z</dcterms:created>
  <dcterms:modified xsi:type="dcterms:W3CDTF">2023-03-02T04:15:26Z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2023-02-13T11:47:56Z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6a91692c-c0ad-4490-894c-77a4e523f3d1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0x010100D73F0CBCCBFEF74A983A4E75A7EF5BC8</vt:lpwstr>
  </property>
</Properties>
</file>